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9\Desktop\"/>
    </mc:Choice>
  </mc:AlternateContent>
  <bookViews>
    <workbookView xWindow="0" yWindow="0" windowWidth="28800" windowHeight="11730" activeTab="10"/>
  </bookViews>
  <sheets>
    <sheet name="Summary" sheetId="1" r:id="rId1"/>
    <sheet name="Table 1" sheetId="2" r:id="rId2"/>
    <sheet name="Table 2 Pg1" sheetId="3" r:id="rId3"/>
    <sheet name="Table 2 Pg2" sheetId="4" r:id="rId4"/>
    <sheet name="Table3 Summary" sheetId="5" r:id="rId5"/>
    <sheet name="Table 3.1" sheetId="6" r:id="rId6"/>
    <sheet name="Table 3.2" sheetId="7" r:id="rId7"/>
    <sheet name="Table 3.3" sheetId="8" r:id="rId8"/>
    <sheet name="Table 3.4" sheetId="9" r:id="rId9"/>
    <sheet name="Table 4" sheetId="10" r:id="rId10"/>
    <sheet name="Table 5"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xlnm.Print_Area" localSheetId="0">Summary!$A$1:$U$61</definedName>
    <definedName name="_xlnm.Print_Area" localSheetId="2">'Table 2 Pg1'!$A$1:$BW$85</definedName>
    <definedName name="_xlnm.Print_Area" localSheetId="5">'Table 3.1'!$B$3:$BW$349</definedName>
    <definedName name="_xlnm.Print_Area" localSheetId="7">'Table 3.3'!$A$1:$BX$188</definedName>
    <definedName name="_xlnm.Print_Area" localSheetId="8">'Table 3.4'!$A$1:$BY$47</definedName>
    <definedName name="_xlnm.Print_Area" localSheetId="9">'Table 4'!$A$1:$W$108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4" i="3" l="1"/>
  <c r="N64" i="3"/>
  <c r="O64" i="3"/>
  <c r="P64" i="3"/>
  <c r="Q64" i="3"/>
  <c r="R64" i="3"/>
  <c r="S64" i="3"/>
  <c r="T64" i="3"/>
  <c r="U64" i="3"/>
  <c r="V64" i="3"/>
  <c r="W64" i="3"/>
  <c r="X64" i="3"/>
  <c r="Y64" i="3"/>
  <c r="Z64" i="3"/>
  <c r="AA64" i="3"/>
  <c r="AB64" i="3"/>
  <c r="AC64" i="3"/>
  <c r="AD64" i="3"/>
  <c r="AE64" i="3"/>
  <c r="AF64" i="3"/>
  <c r="AG64" i="3"/>
  <c r="AH64" i="3"/>
  <c r="G23" i="1"/>
  <c r="H23" i="1"/>
  <c r="I23" i="1"/>
  <c r="J23" i="1"/>
  <c r="K23" i="1"/>
  <c r="L23" i="1"/>
  <c r="G20" i="1"/>
  <c r="H20" i="1"/>
  <c r="I20" i="1"/>
  <c r="J20" i="1"/>
  <c r="K20" i="1"/>
  <c r="L20" i="1"/>
  <c r="D24" i="1"/>
  <c r="N11" i="1"/>
  <c r="O11" i="1"/>
  <c r="P11" i="1"/>
  <c r="R11" i="1"/>
  <c r="S11" i="1"/>
  <c r="AG65" i="12" l="1"/>
  <c r="S65" i="12"/>
  <c r="AG49" i="12"/>
  <c r="S49" i="12"/>
  <c r="AG48" i="12"/>
  <c r="S48" i="12"/>
  <c r="AG47" i="12"/>
  <c r="S47" i="12"/>
  <c r="AG46" i="12"/>
  <c r="S46" i="12"/>
  <c r="AG45" i="12"/>
  <c r="S45" i="12"/>
  <c r="AG44" i="12"/>
  <c r="S44" i="12"/>
  <c r="AG43" i="12"/>
  <c r="S43" i="12"/>
  <c r="AG42" i="12"/>
  <c r="S42" i="12"/>
  <c r="AG41" i="12"/>
  <c r="AG40" i="12" s="1"/>
  <c r="S41" i="12"/>
  <c r="AF40" i="12"/>
  <c r="AE40" i="12"/>
  <c r="AD40" i="12"/>
  <c r="AC40" i="12"/>
  <c r="AB40" i="12"/>
  <c r="AA40" i="12"/>
  <c r="Z40" i="12"/>
  <c r="Y40" i="12"/>
  <c r="X40" i="12"/>
  <c r="W40" i="12"/>
  <c r="V40" i="12"/>
  <c r="U40" i="12"/>
  <c r="T40" i="12"/>
  <c r="R40" i="12"/>
  <c r="Q40" i="12"/>
  <c r="P40" i="12"/>
  <c r="O40" i="12"/>
  <c r="N40" i="12"/>
  <c r="M40" i="12"/>
  <c r="L40" i="12"/>
  <c r="K40" i="12"/>
  <c r="J40" i="12"/>
  <c r="I40" i="12"/>
  <c r="H40" i="12"/>
  <c r="G40" i="12"/>
  <c r="F40" i="12"/>
  <c r="AG38" i="12"/>
  <c r="S38" i="12"/>
  <c r="AG37" i="12"/>
  <c r="S37" i="12"/>
  <c r="AG36" i="12"/>
  <c r="S36" i="12"/>
  <c r="AG35" i="12"/>
  <c r="S35" i="12"/>
  <c r="AG34" i="12"/>
  <c r="S34" i="12"/>
  <c r="AG33" i="12"/>
  <c r="S33" i="12"/>
  <c r="AG32" i="12"/>
  <c r="S32" i="12"/>
  <c r="AG31" i="12"/>
  <c r="S31" i="12"/>
  <c r="AG30" i="12"/>
  <c r="S30" i="12"/>
  <c r="AG29" i="12"/>
  <c r="S29" i="12"/>
  <c r="AG28" i="12"/>
  <c r="S28" i="12"/>
  <c r="AG27" i="12"/>
  <c r="S27" i="12"/>
  <c r="AG26" i="12"/>
  <c r="S26" i="12"/>
  <c r="AG25" i="12"/>
  <c r="S25" i="12"/>
  <c r="AG24" i="12"/>
  <c r="S24" i="12"/>
  <c r="AG23" i="12"/>
  <c r="S23" i="12"/>
  <c r="AG22" i="12"/>
  <c r="S22" i="12"/>
  <c r="T85" i="12" s="1"/>
  <c r="AG21" i="12"/>
  <c r="S21" i="12"/>
  <c r="AG20" i="12"/>
  <c r="S20" i="12"/>
  <c r="AG19" i="12"/>
  <c r="S19" i="12"/>
  <c r="AG18" i="12"/>
  <c r="S18" i="12"/>
  <c r="AG17" i="12"/>
  <c r="S17" i="12"/>
  <c r="AG16" i="12"/>
  <c r="S16" i="12"/>
  <c r="AG15" i="12"/>
  <c r="S15" i="12"/>
  <c r="AG14" i="12"/>
  <c r="S14" i="12"/>
  <c r="AG13" i="12"/>
  <c r="S13" i="12"/>
  <c r="AG12" i="12"/>
  <c r="S12" i="12"/>
  <c r="AG11" i="12"/>
  <c r="S11" i="12"/>
  <c r="AG10" i="12"/>
  <c r="S10" i="12"/>
  <c r="AG9" i="12"/>
  <c r="S9" i="12"/>
  <c r="AG8" i="12"/>
  <c r="S8" i="12"/>
  <c r="AG7" i="12"/>
  <c r="S7" i="12"/>
  <c r="AG6" i="12"/>
  <c r="AF6" i="12"/>
  <c r="AE6" i="12"/>
  <c r="AD6" i="12"/>
  <c r="AC6" i="12"/>
  <c r="AB6" i="12"/>
  <c r="AA6" i="12"/>
  <c r="Z6" i="12"/>
  <c r="Y6" i="12"/>
  <c r="X6" i="12"/>
  <c r="W6" i="12"/>
  <c r="V6" i="12"/>
  <c r="U6" i="12"/>
  <c r="T6" i="12"/>
  <c r="R6" i="12"/>
  <c r="Q6" i="12"/>
  <c r="P6" i="12"/>
  <c r="O6" i="12"/>
  <c r="N6" i="12"/>
  <c r="M6" i="12"/>
  <c r="L6" i="12"/>
  <c r="K6" i="12"/>
  <c r="J6" i="12"/>
  <c r="I6" i="12"/>
  <c r="H6" i="12"/>
  <c r="G6" i="12"/>
  <c r="F6" i="12"/>
  <c r="X103" i="10"/>
  <c r="W103" i="10"/>
  <c r="T103" i="10"/>
  <c r="M102" i="10"/>
  <c r="N96" i="10" s="1"/>
  <c r="L102" i="10"/>
  <c r="K102" i="10"/>
  <c r="J102" i="10"/>
  <c r="I102" i="10"/>
  <c r="H102" i="10"/>
  <c r="G102" i="10"/>
  <c r="W101" i="10"/>
  <c r="M101" i="10"/>
  <c r="L101" i="10"/>
  <c r="K101" i="10"/>
  <c r="J101" i="10"/>
  <c r="I101" i="10"/>
  <c r="H101" i="10"/>
  <c r="G101" i="10"/>
  <c r="W100" i="10"/>
  <c r="S100" i="10"/>
  <c r="R100" i="10"/>
  <c r="Q100" i="10"/>
  <c r="P100" i="10"/>
  <c r="O100" i="10"/>
  <c r="N100" i="10"/>
  <c r="W99" i="10"/>
  <c r="W97" i="10"/>
  <c r="T97" i="10"/>
  <c r="T96" i="10"/>
  <c r="S96" i="10"/>
  <c r="R96" i="10"/>
  <c r="R94" i="10" s="1"/>
  <c r="Q96" i="10"/>
  <c r="P96" i="10"/>
  <c r="O96" i="10"/>
  <c r="M96" i="10"/>
  <c r="M94" i="10" s="1"/>
  <c r="J96" i="10"/>
  <c r="I96" i="10"/>
  <c r="G96" i="10"/>
  <c r="T95" i="10"/>
  <c r="S95" i="10"/>
  <c r="R95" i="10"/>
  <c r="Q95" i="10"/>
  <c r="P95" i="10"/>
  <c r="O95" i="10"/>
  <c r="M95" i="10"/>
  <c r="L95" i="10"/>
  <c r="I95" i="10"/>
  <c r="I94" i="10" s="1"/>
  <c r="G95" i="10"/>
  <c r="H94" i="10"/>
  <c r="M87" i="10"/>
  <c r="L87" i="10"/>
  <c r="K87" i="10"/>
  <c r="J87" i="10"/>
  <c r="I87" i="10"/>
  <c r="H87" i="10"/>
  <c r="G87" i="10"/>
  <c r="M86" i="10"/>
  <c r="L86" i="10"/>
  <c r="K86" i="10"/>
  <c r="J86" i="10"/>
  <c r="I86" i="10"/>
  <c r="H86" i="10"/>
  <c r="G86" i="10"/>
  <c r="M85" i="10"/>
  <c r="L85" i="10"/>
  <c r="K85" i="10"/>
  <c r="J85" i="10"/>
  <c r="I85" i="10"/>
  <c r="H85" i="10"/>
  <c r="G85" i="10"/>
  <c r="X83" i="10"/>
  <c r="W83" i="10"/>
  <c r="X82" i="10"/>
  <c r="W82" i="10"/>
  <c r="X81" i="10"/>
  <c r="W81" i="10"/>
  <c r="T81" i="10"/>
  <c r="X80" i="10"/>
  <c r="W80" i="10"/>
  <c r="T80" i="10"/>
  <c r="X79" i="10"/>
  <c r="W79" i="10"/>
  <c r="T78" i="10"/>
  <c r="T77" i="10"/>
  <c r="S76" i="10"/>
  <c r="R76" i="10"/>
  <c r="Q76" i="10"/>
  <c r="P76" i="10"/>
  <c r="O76" i="10"/>
  <c r="N76" i="10"/>
  <c r="M76" i="10"/>
  <c r="L76" i="10"/>
  <c r="K76" i="10"/>
  <c r="J76" i="10"/>
  <c r="I76" i="10"/>
  <c r="H76" i="10"/>
  <c r="X75" i="10"/>
  <c r="W75" i="10"/>
  <c r="X74" i="10"/>
  <c r="S74" i="10"/>
  <c r="I74" i="10"/>
  <c r="H74" i="10"/>
  <c r="G74" i="10"/>
  <c r="S73" i="10"/>
  <c r="I73" i="10"/>
  <c r="H73" i="10"/>
  <c r="G73" i="10"/>
  <c r="X72" i="10"/>
  <c r="W72" i="10"/>
  <c r="W71" i="10"/>
  <c r="S71" i="10"/>
  <c r="I71" i="10"/>
  <c r="H71" i="10"/>
  <c r="G71" i="10"/>
  <c r="S70" i="10"/>
  <c r="S69" i="10" s="1"/>
  <c r="I70" i="10"/>
  <c r="H70" i="10"/>
  <c r="G70" i="10"/>
  <c r="R69" i="10"/>
  <c r="Q69" i="10"/>
  <c r="P69" i="10"/>
  <c r="O69" i="10"/>
  <c r="N69" i="10"/>
  <c r="M69" i="10"/>
  <c r="L69" i="10"/>
  <c r="K69" i="10"/>
  <c r="J69" i="10"/>
  <c r="M67" i="10"/>
  <c r="L67" i="10"/>
  <c r="K67" i="10"/>
  <c r="J67" i="10"/>
  <c r="I67" i="10"/>
  <c r="H67" i="10"/>
  <c r="G67" i="10"/>
  <c r="M66" i="10"/>
  <c r="L66" i="10"/>
  <c r="K66" i="10"/>
  <c r="J66" i="10"/>
  <c r="I66" i="10"/>
  <c r="H66" i="10"/>
  <c r="G66" i="10"/>
  <c r="M64" i="10"/>
  <c r="L64" i="10"/>
  <c r="K64" i="10"/>
  <c r="J64" i="10"/>
  <c r="I64" i="10"/>
  <c r="H64" i="10"/>
  <c r="G64" i="10"/>
  <c r="M63" i="10"/>
  <c r="L63" i="10"/>
  <c r="K63" i="10"/>
  <c r="J63" i="10"/>
  <c r="I63" i="10"/>
  <c r="H63" i="10"/>
  <c r="G63" i="10"/>
  <c r="S62" i="10"/>
  <c r="R62" i="10"/>
  <c r="Q62" i="10"/>
  <c r="P62" i="10"/>
  <c r="O62" i="10"/>
  <c r="N62" i="10"/>
  <c r="X59" i="10"/>
  <c r="W59" i="10"/>
  <c r="W58" i="10"/>
  <c r="T58" i="10"/>
  <c r="S57" i="10"/>
  <c r="R57" i="10"/>
  <c r="Q57" i="10"/>
  <c r="P57" i="10"/>
  <c r="O57" i="10"/>
  <c r="N57" i="10"/>
  <c r="M57" i="10"/>
  <c r="L57" i="10"/>
  <c r="K57" i="10"/>
  <c r="J57" i="10"/>
  <c r="I57" i="10"/>
  <c r="H57" i="10"/>
  <c r="M55" i="10"/>
  <c r="L55" i="10"/>
  <c r="K55" i="10"/>
  <c r="J55" i="10"/>
  <c r="I55" i="10"/>
  <c r="H55" i="10"/>
  <c r="G55" i="10"/>
  <c r="M54" i="10"/>
  <c r="L54" i="10"/>
  <c r="K54" i="10"/>
  <c r="J54" i="10"/>
  <c r="I54" i="10"/>
  <c r="H54" i="10"/>
  <c r="G54" i="10"/>
  <c r="S53" i="10"/>
  <c r="R53" i="10"/>
  <c r="Q53" i="10"/>
  <c r="P53" i="10"/>
  <c r="O53" i="10"/>
  <c r="N53" i="10"/>
  <c r="S51" i="10"/>
  <c r="R51" i="10"/>
  <c r="Q51" i="10"/>
  <c r="P51" i="10"/>
  <c r="O51" i="10"/>
  <c r="N51" i="10"/>
  <c r="M51" i="10"/>
  <c r="L51" i="10"/>
  <c r="K51" i="10"/>
  <c r="J51" i="10"/>
  <c r="I51" i="10"/>
  <c r="H51" i="10"/>
  <c r="G51" i="10"/>
  <c r="W50" i="10"/>
  <c r="S50" i="10"/>
  <c r="R50" i="10"/>
  <c r="Q50" i="10"/>
  <c r="P50" i="10"/>
  <c r="O50" i="10"/>
  <c r="N50" i="10"/>
  <c r="M50" i="10"/>
  <c r="L50" i="10"/>
  <c r="K50" i="10"/>
  <c r="J50" i="10"/>
  <c r="I50" i="10"/>
  <c r="H50" i="10"/>
  <c r="G50" i="10"/>
  <c r="S49" i="10"/>
  <c r="R49" i="10"/>
  <c r="Q49" i="10"/>
  <c r="P49" i="10"/>
  <c r="O49" i="10"/>
  <c r="N49" i="10"/>
  <c r="M49" i="10"/>
  <c r="L49" i="10"/>
  <c r="K49" i="10"/>
  <c r="J49" i="10"/>
  <c r="I49" i="10"/>
  <c r="H49" i="10"/>
  <c r="G49" i="10"/>
  <c r="M48" i="10"/>
  <c r="X46" i="10"/>
  <c r="T46" i="10"/>
  <c r="M45" i="10"/>
  <c r="L45" i="10"/>
  <c r="K45" i="10"/>
  <c r="J45" i="10"/>
  <c r="I45" i="10"/>
  <c r="H45" i="10"/>
  <c r="H41" i="10" s="1"/>
  <c r="G45" i="10"/>
  <c r="M43" i="10"/>
  <c r="L43" i="10"/>
  <c r="K43" i="10"/>
  <c r="J43" i="10"/>
  <c r="I43" i="10"/>
  <c r="H43" i="10"/>
  <c r="G43" i="10"/>
  <c r="M42" i="10"/>
  <c r="L42" i="10"/>
  <c r="K42" i="10"/>
  <c r="J42" i="10"/>
  <c r="I42" i="10"/>
  <c r="H42" i="10"/>
  <c r="G42" i="10"/>
  <c r="S41" i="10"/>
  <c r="R41" i="10"/>
  <c r="Q41" i="10"/>
  <c r="P41" i="10"/>
  <c r="O41" i="10"/>
  <c r="N41" i="10"/>
  <c r="M37" i="10"/>
  <c r="L37" i="10"/>
  <c r="K37" i="10"/>
  <c r="J37" i="10"/>
  <c r="I37" i="10"/>
  <c r="H37" i="10"/>
  <c r="G37" i="10"/>
  <c r="S32" i="10"/>
  <c r="R32" i="10"/>
  <c r="Q32" i="10"/>
  <c r="P32" i="10"/>
  <c r="O32" i="10"/>
  <c r="N32" i="10"/>
  <c r="T28" i="10"/>
  <c r="G28" i="10"/>
  <c r="D28" i="10"/>
  <c r="X26" i="10"/>
  <c r="T26" i="10"/>
  <c r="G26" i="10"/>
  <c r="D26" i="10"/>
  <c r="T25" i="10"/>
  <c r="G25" i="10"/>
  <c r="D25" i="10"/>
  <c r="X24" i="10"/>
  <c r="T24" i="10"/>
  <c r="G24" i="10"/>
  <c r="D24" i="10"/>
  <c r="X23" i="10"/>
  <c r="T23" i="10"/>
  <c r="G23" i="10"/>
  <c r="D23" i="10"/>
  <c r="X21" i="10"/>
  <c r="W21" i="10"/>
  <c r="L21" i="10"/>
  <c r="J21" i="10"/>
  <c r="I21" i="10"/>
  <c r="H21" i="10"/>
  <c r="G21" i="10"/>
  <c r="X20" i="10"/>
  <c r="W20" i="10"/>
  <c r="J20" i="10"/>
  <c r="I20" i="10"/>
  <c r="H20" i="10"/>
  <c r="G20" i="10"/>
  <c r="X19" i="10"/>
  <c r="I19" i="10"/>
  <c r="G19" i="10"/>
  <c r="J18" i="10"/>
  <c r="I18" i="10"/>
  <c r="H18" i="10"/>
  <c r="G18" i="10"/>
  <c r="J17" i="10"/>
  <c r="I17" i="10"/>
  <c r="H17" i="10"/>
  <c r="G17" i="10"/>
  <c r="G16" i="10" s="1"/>
  <c r="G12" i="10" s="1"/>
  <c r="S16" i="10"/>
  <c r="S14" i="10" s="1"/>
  <c r="R16" i="10"/>
  <c r="Q16" i="10"/>
  <c r="P16" i="10"/>
  <c r="P14" i="10" s="1"/>
  <c r="O16" i="10"/>
  <c r="N16" i="10"/>
  <c r="M16" i="10"/>
  <c r="K16" i="10"/>
  <c r="G14" i="10"/>
  <c r="X12" i="10"/>
  <c r="M12" i="10"/>
  <c r="L12" i="10"/>
  <c r="K12" i="10"/>
  <c r="J12" i="10"/>
  <c r="I12" i="10"/>
  <c r="H12" i="10"/>
  <c r="M10" i="10"/>
  <c r="L10" i="10"/>
  <c r="K10" i="10"/>
  <c r="J10" i="10"/>
  <c r="J32" i="10" s="1"/>
  <c r="I10" i="10"/>
  <c r="H10" i="10"/>
  <c r="G10" i="10"/>
  <c r="G7" i="10"/>
  <c r="BT81" i="9"/>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P79" i="9"/>
  <c r="BO79" i="9"/>
  <c r="BN79" i="9"/>
  <c r="BM79" i="9"/>
  <c r="BL79" i="9"/>
  <c r="BJ79" i="9"/>
  <c r="BI79" i="9"/>
  <c r="BH79" i="9"/>
  <c r="BG79" i="9"/>
  <c r="BE79" i="9"/>
  <c r="BD79" i="9"/>
  <c r="BC79" i="9"/>
  <c r="BB79" i="9"/>
  <c r="BA79" i="9"/>
  <c r="AZ79" i="9"/>
  <c r="AY79" i="9"/>
  <c r="AX79" i="9"/>
  <c r="AW79" i="9"/>
  <c r="AV79" i="9"/>
  <c r="AU79" i="9"/>
  <c r="AT79" i="9"/>
  <c r="AS79" i="9"/>
  <c r="AR79" i="9"/>
  <c r="AP79" i="9"/>
  <c r="AO79" i="9"/>
  <c r="AN79" i="9"/>
  <c r="AM79" i="9"/>
  <c r="AK79" i="9"/>
  <c r="AJ79" i="9"/>
  <c r="AI79" i="9"/>
  <c r="AH79" i="9"/>
  <c r="AF79" i="9"/>
  <c r="AE79" i="9"/>
  <c r="AD79" i="9"/>
  <c r="AC79" i="9"/>
  <c r="AA79" i="9"/>
  <c r="Z79" i="9"/>
  <c r="Y79" i="9"/>
  <c r="X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P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F56" i="9"/>
  <c r="AE56" i="9"/>
  <c r="AD56" i="9"/>
  <c r="AC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AZ55" i="9"/>
  <c r="AY55" i="9"/>
  <c r="AX55" i="9"/>
  <c r="AW55" i="9"/>
  <c r="AV55" i="9"/>
  <c r="AU55" i="9"/>
  <c r="AT55" i="9"/>
  <c r="AS55" i="9"/>
  <c r="AR55" i="9"/>
  <c r="AP55" i="9"/>
  <c r="AO55" i="9"/>
  <c r="AN55" i="9"/>
  <c r="AM55" i="9"/>
  <c r="AK55" i="9"/>
  <c r="AJ55" i="9"/>
  <c r="AI55" i="9"/>
  <c r="AH55" i="9"/>
  <c r="AF55" i="9"/>
  <c r="AE55" i="9"/>
  <c r="AD55" i="9"/>
  <c r="AC55" i="9"/>
  <c r="AA55" i="9"/>
  <c r="Z55" i="9"/>
  <c r="Y55" i="9"/>
  <c r="X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BK79" i="9"/>
  <c r="BF79" i="9"/>
  <c r="AQ79" i="9"/>
  <c r="AG38" i="9"/>
  <c r="AG79" i="9" s="1"/>
  <c r="AB38" i="9"/>
  <c r="AB79" i="9" s="1"/>
  <c r="W38" i="9"/>
  <c r="W79" i="9" s="1"/>
  <c r="R38" i="9"/>
  <c r="R79" i="9" s="1"/>
  <c r="M38" i="9"/>
  <c r="M79" i="9" s="1"/>
  <c r="BU34" i="9"/>
  <c r="BU33" i="9"/>
  <c r="BU74" i="9" s="1"/>
  <c r="AQ73" i="9"/>
  <c r="BP32" i="9"/>
  <c r="BP73" i="9" s="1"/>
  <c r="BK32" i="9"/>
  <c r="BK73" i="9" s="1"/>
  <c r="BF32" i="9"/>
  <c r="BA32" i="9"/>
  <c r="AV32" i="9"/>
  <c r="AV73" i="9" s="1"/>
  <c r="AQ32" i="9"/>
  <c r="AL32" i="9"/>
  <c r="AG32" i="9"/>
  <c r="AB32" i="9"/>
  <c r="AB73" i="9" s="1"/>
  <c r="W32" i="9"/>
  <c r="W73" i="9" s="1"/>
  <c r="R32" i="9"/>
  <c r="M32" i="9"/>
  <c r="H32" i="9"/>
  <c r="BU29" i="9"/>
  <c r="BU28" i="9"/>
  <c r="BU69" i="9" s="1"/>
  <c r="BK68" i="9"/>
  <c r="W68" i="9"/>
  <c r="BP27" i="9"/>
  <c r="BK27" i="9"/>
  <c r="BF27" i="9"/>
  <c r="BA27" i="9"/>
  <c r="BA68" i="9" s="1"/>
  <c r="AV27" i="9"/>
  <c r="AQ27" i="9"/>
  <c r="AQ68" i="9" s="1"/>
  <c r="AL27" i="9"/>
  <c r="AG27" i="9"/>
  <c r="AG68" i="9" s="1"/>
  <c r="AB27" i="9"/>
  <c r="W27" i="9"/>
  <c r="R27" i="9"/>
  <c r="M27" i="9"/>
  <c r="M68" i="9" s="1"/>
  <c r="H27" i="9"/>
  <c r="BU25" i="9"/>
  <c r="BF64" i="9"/>
  <c r="AG64" i="9"/>
  <c r="BU23" i="9"/>
  <c r="BU64" i="9" s="1"/>
  <c r="BU19" i="9"/>
  <c r="BU18" i="9"/>
  <c r="BU59" i="9" s="1"/>
  <c r="BP17" i="9"/>
  <c r="BK17" i="9"/>
  <c r="BK58" i="9" s="1"/>
  <c r="BF17" i="9"/>
  <c r="BA17" i="9"/>
  <c r="BA58" i="9" s="1"/>
  <c r="AV17" i="9"/>
  <c r="AQ17" i="9"/>
  <c r="AQ58" i="9" s="1"/>
  <c r="AL17" i="9"/>
  <c r="AG17" i="9"/>
  <c r="AG58" i="9" s="1"/>
  <c r="AB17" i="9"/>
  <c r="W17" i="9"/>
  <c r="W58" i="9" s="1"/>
  <c r="R17" i="9"/>
  <c r="M17" i="9"/>
  <c r="M58" i="9" s="1"/>
  <c r="H17" i="9"/>
  <c r="BU15" i="9"/>
  <c r="BU56" i="9" s="1"/>
  <c r="BP15" i="9"/>
  <c r="BP56" i="9" s="1"/>
  <c r="BK15" i="9"/>
  <c r="BK56" i="9" s="1"/>
  <c r="BF15" i="9"/>
  <c r="BF56" i="9" s="1"/>
  <c r="BA15" i="9"/>
  <c r="BA56" i="9" s="1"/>
  <c r="AV15" i="9"/>
  <c r="AV56" i="9" s="1"/>
  <c r="AQ15" i="9"/>
  <c r="AQ56" i="9" s="1"/>
  <c r="AL15" i="9"/>
  <c r="AL56" i="9" s="1"/>
  <c r="AG15" i="9"/>
  <c r="AG56" i="9" s="1"/>
  <c r="AB15" i="9"/>
  <c r="AB56" i="9" s="1"/>
  <c r="W15" i="9"/>
  <c r="W56" i="9" s="1"/>
  <c r="R15" i="9"/>
  <c r="R56" i="9" s="1"/>
  <c r="BU14" i="9"/>
  <c r="BU55" i="9" s="1"/>
  <c r="BP14" i="9"/>
  <c r="BP13" i="9" s="1"/>
  <c r="BK14" i="9"/>
  <c r="BK55" i="9" s="1"/>
  <c r="BF14" i="9"/>
  <c r="BA14" i="9"/>
  <c r="BA55" i="9" s="1"/>
  <c r="AV14" i="9"/>
  <c r="AQ14" i="9"/>
  <c r="AQ55" i="9" s="1"/>
  <c r="AL14" i="9"/>
  <c r="AG14" i="9"/>
  <c r="AG55" i="9" s="1"/>
  <c r="AB14" i="9"/>
  <c r="AB55" i="9" s="1"/>
  <c r="W14" i="9"/>
  <c r="W55" i="9" s="1"/>
  <c r="R14" i="9"/>
  <c r="AV13" i="9"/>
  <c r="M13" i="9"/>
  <c r="M54" i="9" s="1"/>
  <c r="H13" i="9"/>
  <c r="H12" i="9" s="1"/>
  <c r="AV12" i="9"/>
  <c r="H9" i="9"/>
  <c r="H8" i="9"/>
  <c r="BT186" i="8"/>
  <c r="BT185" i="8"/>
  <c r="BT184" i="8" s="1"/>
  <c r="BO184" i="8"/>
  <c r="BJ184" i="8"/>
  <c r="BE184" i="8"/>
  <c r="AZ184" i="8"/>
  <c r="AU184" i="8"/>
  <c r="AP184" i="8"/>
  <c r="AK184" i="8"/>
  <c r="AF184" i="8"/>
  <c r="AA184" i="8"/>
  <c r="V184" i="8"/>
  <c r="Q184" i="8"/>
  <c r="L184" i="8"/>
  <c r="G184" i="8"/>
  <c r="BT182" i="8"/>
  <c r="BT181" i="8"/>
  <c r="BO180" i="8"/>
  <c r="BJ180" i="8"/>
  <c r="BE180" i="8"/>
  <c r="AZ180" i="8"/>
  <c r="AU180" i="8"/>
  <c r="AP180" i="8"/>
  <c r="AK180" i="8"/>
  <c r="AF180" i="8"/>
  <c r="AA180" i="8"/>
  <c r="V180" i="8"/>
  <c r="Q180" i="8"/>
  <c r="L180" i="8"/>
  <c r="G180" i="8"/>
  <c r="BT178" i="8"/>
  <c r="BT177" i="8"/>
  <c r="BT176" i="8" s="1"/>
  <c r="BO176" i="8"/>
  <c r="BJ176" i="8"/>
  <c r="BE176" i="8"/>
  <c r="AZ176" i="8"/>
  <c r="AU176" i="8"/>
  <c r="AP176" i="8"/>
  <c r="AK176" i="8"/>
  <c r="AF176" i="8"/>
  <c r="AA176" i="8"/>
  <c r="V176" i="8"/>
  <c r="Q176" i="8"/>
  <c r="L176" i="8"/>
  <c r="G176" i="8"/>
  <c r="BT174" i="8"/>
  <c r="BT173" i="8"/>
  <c r="BT172" i="8" s="1"/>
  <c r="BO172" i="8"/>
  <c r="BJ172" i="8"/>
  <c r="BE172" i="8"/>
  <c r="AZ172" i="8"/>
  <c r="AU172" i="8"/>
  <c r="AP172" i="8"/>
  <c r="AK172" i="8"/>
  <c r="AF172" i="8"/>
  <c r="AA172" i="8"/>
  <c r="V172" i="8"/>
  <c r="Q172" i="8"/>
  <c r="L172" i="8"/>
  <c r="BO170" i="8"/>
  <c r="BJ170" i="8"/>
  <c r="BE170" i="8"/>
  <c r="AZ170" i="8"/>
  <c r="AU170" i="8"/>
  <c r="AP170" i="8"/>
  <c r="AK170" i="8"/>
  <c r="AF170" i="8"/>
  <c r="AA170" i="8"/>
  <c r="V170" i="8"/>
  <c r="Q170" i="8"/>
  <c r="L170" i="8"/>
  <c r="BO169" i="8"/>
  <c r="BJ169" i="8"/>
  <c r="BJ168" i="8" s="1"/>
  <c r="BE169" i="8"/>
  <c r="AZ169" i="8"/>
  <c r="AU169" i="8"/>
  <c r="AP169" i="8"/>
  <c r="AP168" i="8" s="1"/>
  <c r="AK169" i="8"/>
  <c r="AK168" i="8" s="1"/>
  <c r="AK106" i="8" s="1"/>
  <c r="AF169" i="8"/>
  <c r="AA169" i="8"/>
  <c r="V169" i="8"/>
  <c r="V168" i="8" s="1"/>
  <c r="Q169" i="8"/>
  <c r="Q168" i="8" s="1"/>
  <c r="Q106" i="8" s="1"/>
  <c r="L169" i="8"/>
  <c r="BT166" i="8"/>
  <c r="BT165" i="8"/>
  <c r="BT164" i="8" s="1"/>
  <c r="BO164" i="8"/>
  <c r="BJ164" i="8"/>
  <c r="BE164" i="8"/>
  <c r="AZ164" i="8"/>
  <c r="AU164" i="8"/>
  <c r="AP164" i="8"/>
  <c r="AK164" i="8"/>
  <c r="AF164" i="8"/>
  <c r="AA164" i="8"/>
  <c r="V164" i="8"/>
  <c r="Q164" i="8"/>
  <c r="L164" i="8"/>
  <c r="BT162" i="8"/>
  <c r="BT161" i="8"/>
  <c r="BT160" i="8"/>
  <c r="BO160" i="8"/>
  <c r="BJ160" i="8"/>
  <c r="BE160" i="8"/>
  <c r="AZ160" i="8"/>
  <c r="AU160" i="8"/>
  <c r="AP160" i="8"/>
  <c r="AK160" i="8"/>
  <c r="AF160" i="8"/>
  <c r="AA160" i="8"/>
  <c r="V160" i="8"/>
  <c r="Q160" i="8"/>
  <c r="L160" i="8"/>
  <c r="BO158" i="8"/>
  <c r="BJ158" i="8"/>
  <c r="BE158" i="8"/>
  <c r="AZ158" i="8"/>
  <c r="AU158" i="8"/>
  <c r="AK158" i="8"/>
  <c r="AF158" i="8"/>
  <c r="AA158" i="8"/>
  <c r="V158" i="8"/>
  <c r="Q158" i="8"/>
  <c r="L158" i="8"/>
  <c r="BO157" i="8"/>
  <c r="BO156" i="8" s="1"/>
  <c r="BJ157" i="8"/>
  <c r="BE157" i="8"/>
  <c r="AZ157" i="8"/>
  <c r="AU157" i="8"/>
  <c r="AK157" i="8"/>
  <c r="AF157" i="8"/>
  <c r="AA157" i="8"/>
  <c r="V157" i="8"/>
  <c r="Q157" i="8"/>
  <c r="L157" i="8"/>
  <c r="BJ156" i="8"/>
  <c r="BJ105" i="8" s="1"/>
  <c r="AP156" i="8"/>
  <c r="G156" i="8"/>
  <c r="BT154" i="8"/>
  <c r="BT153" i="8"/>
  <c r="BO152" i="8"/>
  <c r="BJ152" i="8"/>
  <c r="BE152" i="8"/>
  <c r="AZ152" i="8"/>
  <c r="AU152" i="8"/>
  <c r="AP152" i="8"/>
  <c r="AK152" i="8"/>
  <c r="AF152" i="8"/>
  <c r="AA152" i="8"/>
  <c r="V152" i="8"/>
  <c r="Q152" i="8"/>
  <c r="L152" i="8"/>
  <c r="G152" i="8"/>
  <c r="BT150" i="8"/>
  <c r="BT149" i="8"/>
  <c r="BO148" i="8"/>
  <c r="BJ148" i="8"/>
  <c r="BE148" i="8"/>
  <c r="AZ148" i="8"/>
  <c r="AU148" i="8"/>
  <c r="AP148" i="8"/>
  <c r="AK148" i="8"/>
  <c r="AF148" i="8"/>
  <c r="AA148" i="8"/>
  <c r="V148" i="8"/>
  <c r="Q148" i="8"/>
  <c r="L148" i="8"/>
  <c r="G148" i="8"/>
  <c r="BT146" i="8"/>
  <c r="BT145" i="8"/>
  <c r="BT144" i="8" s="1"/>
  <c r="BO144" i="8"/>
  <c r="BJ144" i="8"/>
  <c r="BE144" i="8"/>
  <c r="AZ144" i="8"/>
  <c r="AU144" i="8"/>
  <c r="AP144" i="8"/>
  <c r="AK144" i="8"/>
  <c r="AF144" i="8"/>
  <c r="AA144" i="8"/>
  <c r="V144" i="8"/>
  <c r="Q144" i="8"/>
  <c r="L144" i="8"/>
  <c r="G144" i="8"/>
  <c r="BT142" i="8"/>
  <c r="BT141" i="8"/>
  <c r="BO140" i="8"/>
  <c r="BJ140" i="8"/>
  <c r="BE140" i="8"/>
  <c r="AZ140" i="8"/>
  <c r="AU140" i="8"/>
  <c r="AP140" i="8"/>
  <c r="AK140" i="8"/>
  <c r="AF140" i="8"/>
  <c r="AA140" i="8"/>
  <c r="V140" i="8"/>
  <c r="Q140" i="8"/>
  <c r="L140" i="8"/>
  <c r="G140" i="8"/>
  <c r="BT138" i="8"/>
  <c r="BT137" i="8"/>
  <c r="BO136" i="8"/>
  <c r="BJ136" i="8"/>
  <c r="BE136" i="8"/>
  <c r="AZ136" i="8"/>
  <c r="AU136" i="8"/>
  <c r="AP136" i="8"/>
  <c r="AK136" i="8"/>
  <c r="AF136" i="8"/>
  <c r="AA136" i="8"/>
  <c r="V136" i="8"/>
  <c r="Q136" i="8"/>
  <c r="L136" i="8"/>
  <c r="G136" i="8"/>
  <c r="BT134" i="8"/>
  <c r="BT133" i="8"/>
  <c r="BO132" i="8"/>
  <c r="BJ132" i="8"/>
  <c r="BE132" i="8"/>
  <c r="AZ132" i="8"/>
  <c r="AU132" i="8"/>
  <c r="AP132" i="8"/>
  <c r="AK132" i="8"/>
  <c r="AF132" i="8"/>
  <c r="AA132" i="8"/>
  <c r="V132" i="8"/>
  <c r="Q132" i="8"/>
  <c r="L132" i="8"/>
  <c r="G132" i="8"/>
  <c r="BT130" i="8"/>
  <c r="BT129" i="8"/>
  <c r="BO128" i="8"/>
  <c r="BJ128" i="8"/>
  <c r="BE128" i="8"/>
  <c r="AZ128" i="8"/>
  <c r="AU128" i="8"/>
  <c r="AP128" i="8"/>
  <c r="AK128" i="8"/>
  <c r="AF128" i="8"/>
  <c r="AA128" i="8"/>
  <c r="V128" i="8"/>
  <c r="Q128" i="8"/>
  <c r="L128" i="8"/>
  <c r="BT126" i="8"/>
  <c r="BT125" i="8"/>
  <c r="BT124" i="8" s="1"/>
  <c r="BO124" i="8"/>
  <c r="BJ124" i="8"/>
  <c r="BE124" i="8"/>
  <c r="AZ124" i="8"/>
  <c r="AU124" i="8"/>
  <c r="AP124" i="8"/>
  <c r="AK124" i="8"/>
  <c r="AF124" i="8"/>
  <c r="AA124" i="8"/>
  <c r="V124" i="8"/>
  <c r="Q124" i="8"/>
  <c r="L124" i="8"/>
  <c r="BT122" i="8"/>
  <c r="BT121" i="8"/>
  <c r="BO120" i="8"/>
  <c r="BJ120" i="8"/>
  <c r="BE120" i="8"/>
  <c r="AZ120" i="8"/>
  <c r="AU120" i="8"/>
  <c r="AP120" i="8"/>
  <c r="AK120" i="8"/>
  <c r="AF120" i="8"/>
  <c r="AA120" i="8"/>
  <c r="V120" i="8"/>
  <c r="Q120" i="8"/>
  <c r="L120" i="8"/>
  <c r="G120" i="8"/>
  <c r="BT118" i="8"/>
  <c r="BT117" i="8"/>
  <c r="BT116" i="8" s="1"/>
  <c r="BO116" i="8"/>
  <c r="BJ116" i="8"/>
  <c r="BE116" i="8"/>
  <c r="AZ116" i="8"/>
  <c r="AU116" i="8"/>
  <c r="AP116" i="8"/>
  <c r="AK116" i="8"/>
  <c r="AF116" i="8"/>
  <c r="AA116" i="8"/>
  <c r="V116" i="8"/>
  <c r="Q116" i="8"/>
  <c r="L116" i="8"/>
  <c r="G116" i="8"/>
  <c r="BT114" i="8"/>
  <c r="BT113" i="8"/>
  <c r="BT112" i="8" s="1"/>
  <c r="BO112" i="8"/>
  <c r="BJ112" i="8"/>
  <c r="BE112" i="8"/>
  <c r="AZ112" i="8"/>
  <c r="AU112" i="8"/>
  <c r="AP112" i="8"/>
  <c r="AK112" i="8"/>
  <c r="AF112" i="8"/>
  <c r="AA112" i="8"/>
  <c r="V112" i="8"/>
  <c r="Q112" i="8"/>
  <c r="L112" i="8"/>
  <c r="G112" i="8"/>
  <c r="BJ110" i="8"/>
  <c r="BE110" i="8"/>
  <c r="AZ110" i="8"/>
  <c r="AK110" i="8"/>
  <c r="AF110" i="8"/>
  <c r="AA110" i="8"/>
  <c r="V110" i="8"/>
  <c r="Q110" i="8"/>
  <c r="L110" i="8"/>
  <c r="G110" i="8"/>
  <c r="BJ109" i="8"/>
  <c r="BE109" i="8"/>
  <c r="BE108" i="8" s="1"/>
  <c r="AZ109" i="8"/>
  <c r="AK109" i="8"/>
  <c r="AF109" i="8"/>
  <c r="AA109" i="8"/>
  <c r="V109" i="8"/>
  <c r="Q109" i="8"/>
  <c r="L109" i="8"/>
  <c r="G109" i="8"/>
  <c r="BO108" i="8"/>
  <c r="BO104" i="8" s="1"/>
  <c r="AU108" i="8"/>
  <c r="AP108" i="8"/>
  <c r="AA108" i="8"/>
  <c r="AA104" i="8" s="1"/>
  <c r="G106" i="8"/>
  <c r="G105" i="8"/>
  <c r="AU104" i="8"/>
  <c r="BT101" i="8"/>
  <c r="BT100" i="8"/>
  <c r="BT99" i="8"/>
  <c r="BT98" i="8"/>
  <c r="BO98" i="8"/>
  <c r="BJ98" i="8"/>
  <c r="BE98" i="8"/>
  <c r="AZ98" i="8"/>
  <c r="AU98" i="8"/>
  <c r="AP98" i="8"/>
  <c r="AK98" i="8"/>
  <c r="AF98" i="8"/>
  <c r="AA98" i="8"/>
  <c r="V98" i="8"/>
  <c r="Q98" i="8"/>
  <c r="L98" i="8"/>
  <c r="BT96" i="8"/>
  <c r="BT95" i="8"/>
  <c r="BT94" i="8"/>
  <c r="BO93" i="8"/>
  <c r="BJ93" i="8"/>
  <c r="BE93" i="8"/>
  <c r="AZ93" i="8"/>
  <c r="AU93" i="8"/>
  <c r="AP93" i="8"/>
  <c r="AK93" i="8"/>
  <c r="AF93" i="8"/>
  <c r="AA93" i="8"/>
  <c r="V93" i="8"/>
  <c r="Q93" i="8"/>
  <c r="L93" i="8"/>
  <c r="BT91" i="8"/>
  <c r="BT90" i="8"/>
  <c r="BT89" i="8"/>
  <c r="BO88" i="8"/>
  <c r="BJ88" i="8"/>
  <c r="BE88" i="8"/>
  <c r="AZ88" i="8"/>
  <c r="AU88" i="8"/>
  <c r="AP88" i="8"/>
  <c r="AK88" i="8"/>
  <c r="AF88" i="8"/>
  <c r="AA88" i="8"/>
  <c r="V88" i="8"/>
  <c r="Q88" i="8"/>
  <c r="L88" i="8"/>
  <c r="BT86" i="8"/>
  <c r="BT85" i="8"/>
  <c r="BT84" i="8"/>
  <c r="BO83" i="8"/>
  <c r="BJ83" i="8"/>
  <c r="BE83" i="8"/>
  <c r="AZ83" i="8"/>
  <c r="AU83" i="8"/>
  <c r="AP83" i="8"/>
  <c r="AK83" i="8"/>
  <c r="AF83" i="8"/>
  <c r="AA83" i="8"/>
  <c r="V83" i="8"/>
  <c r="Q83" i="8"/>
  <c r="L83" i="8"/>
  <c r="BT81" i="8"/>
  <c r="BT76" i="8" s="1"/>
  <c r="BT80" i="8"/>
  <c r="BT75" i="8" s="1"/>
  <c r="BT79" i="8"/>
  <c r="BO78" i="8"/>
  <c r="BJ78" i="8"/>
  <c r="BE78" i="8"/>
  <c r="AZ78" i="8"/>
  <c r="AU78" i="8"/>
  <c r="AP78" i="8"/>
  <c r="AK78" i="8"/>
  <c r="AF78" i="8"/>
  <c r="AA78" i="8"/>
  <c r="V78" i="8"/>
  <c r="Q78" i="8"/>
  <c r="L78" i="8"/>
  <c r="BO76" i="8"/>
  <c r="BJ76" i="8"/>
  <c r="BE76" i="8"/>
  <c r="AZ76" i="8"/>
  <c r="AU76" i="8"/>
  <c r="AP76" i="8"/>
  <c r="AK76" i="8"/>
  <c r="AF76" i="8"/>
  <c r="AA76" i="8"/>
  <c r="V76" i="8"/>
  <c r="Q76" i="8"/>
  <c r="L76" i="8"/>
  <c r="BO75" i="8"/>
  <c r="BJ75" i="8"/>
  <c r="BE75" i="8"/>
  <c r="AZ75" i="8"/>
  <c r="AU75" i="8"/>
  <c r="AP75" i="8"/>
  <c r="AK75" i="8"/>
  <c r="AF75" i="8"/>
  <c r="AA75" i="8"/>
  <c r="V75" i="8"/>
  <c r="Q75" i="8"/>
  <c r="L75" i="8"/>
  <c r="BO74" i="8"/>
  <c r="BJ74" i="8"/>
  <c r="BE74" i="8"/>
  <c r="AZ74" i="8"/>
  <c r="AU74" i="8"/>
  <c r="AP74" i="8"/>
  <c r="AK74" i="8"/>
  <c r="AF74" i="8"/>
  <c r="AA74" i="8"/>
  <c r="V74" i="8"/>
  <c r="Q74" i="8"/>
  <c r="L74" i="8"/>
  <c r="BO73" i="8"/>
  <c r="BJ73" i="8"/>
  <c r="BE73" i="8"/>
  <c r="AZ73" i="8"/>
  <c r="AZ15" i="8" s="1"/>
  <c r="AU73" i="8"/>
  <c r="AP73" i="8"/>
  <c r="AK73" i="8"/>
  <c r="AF73" i="8"/>
  <c r="AA73" i="8"/>
  <c r="V73" i="8"/>
  <c r="Q73" i="8"/>
  <c r="Q15" i="8" s="1"/>
  <c r="L73" i="8"/>
  <c r="L15" i="8" s="1"/>
  <c r="BT71" i="8"/>
  <c r="BT66" i="8" s="1"/>
  <c r="BT70" i="8"/>
  <c r="BT65" i="8" s="1"/>
  <c r="BT69" i="8"/>
  <c r="BT64" i="8" s="1"/>
  <c r="BT68" i="8"/>
  <c r="BO68" i="8"/>
  <c r="BJ68" i="8"/>
  <c r="BE68" i="8"/>
  <c r="AZ68" i="8"/>
  <c r="AU68" i="8"/>
  <c r="AP68" i="8"/>
  <c r="AK68" i="8"/>
  <c r="AF68" i="8"/>
  <c r="AA68" i="8"/>
  <c r="V68" i="8"/>
  <c r="Q68" i="8"/>
  <c r="L68" i="8"/>
  <c r="BO66" i="8"/>
  <c r="BJ66" i="8"/>
  <c r="BE66" i="8"/>
  <c r="AZ66" i="8"/>
  <c r="AU66" i="8"/>
  <c r="AP66" i="8"/>
  <c r="AK66" i="8"/>
  <c r="AF66" i="8"/>
  <c r="AA66" i="8"/>
  <c r="V66" i="8"/>
  <c r="Q66" i="8"/>
  <c r="L66" i="8"/>
  <c r="BO65" i="8"/>
  <c r="BJ65" i="8"/>
  <c r="BE65" i="8"/>
  <c r="AZ65" i="8"/>
  <c r="AU65" i="8"/>
  <c r="AP65" i="8"/>
  <c r="AK65" i="8"/>
  <c r="AF65" i="8"/>
  <c r="AA65" i="8"/>
  <c r="V65" i="8"/>
  <c r="Q65" i="8"/>
  <c r="L65" i="8"/>
  <c r="BO64" i="8"/>
  <c r="BJ64" i="8"/>
  <c r="BE64" i="8"/>
  <c r="AZ64" i="8"/>
  <c r="AU64" i="8"/>
  <c r="AP64" i="8"/>
  <c r="AK64" i="8"/>
  <c r="AF64" i="8"/>
  <c r="AA64" i="8"/>
  <c r="V64" i="8"/>
  <c r="Q64" i="8"/>
  <c r="L64" i="8"/>
  <c r="BO63" i="8"/>
  <c r="BJ63" i="8"/>
  <c r="BE63" i="8"/>
  <c r="AZ63" i="8"/>
  <c r="AZ14" i="8" s="1"/>
  <c r="AU63" i="8"/>
  <c r="AP63" i="8"/>
  <c r="AK63" i="8"/>
  <c r="AF63" i="8"/>
  <c r="AF14" i="8" s="1"/>
  <c r="AA63" i="8"/>
  <c r="V63" i="8"/>
  <c r="Q63" i="8"/>
  <c r="L63" i="8"/>
  <c r="G63" i="8"/>
  <c r="BT61" i="8"/>
  <c r="BT60" i="8"/>
  <c r="BT59" i="8"/>
  <c r="BT58" i="8"/>
  <c r="BT57" i="8" s="1"/>
  <c r="BO57" i="8"/>
  <c r="BJ57" i="8"/>
  <c r="BE57" i="8"/>
  <c r="AZ57" i="8"/>
  <c r="AU57" i="8"/>
  <c r="AP57" i="8"/>
  <c r="AK57" i="8"/>
  <c r="AF57" i="8"/>
  <c r="AA57" i="8"/>
  <c r="V57" i="8"/>
  <c r="Q57" i="8"/>
  <c r="L57" i="8"/>
  <c r="BT55" i="8"/>
  <c r="BT54" i="8"/>
  <c r="BT53" i="8"/>
  <c r="BO52" i="8"/>
  <c r="BJ52" i="8"/>
  <c r="BE52" i="8"/>
  <c r="AZ52" i="8"/>
  <c r="AU52" i="8"/>
  <c r="AP52" i="8"/>
  <c r="AK52" i="8"/>
  <c r="AF52" i="8"/>
  <c r="AA52" i="8"/>
  <c r="V52" i="8"/>
  <c r="Q52" i="8"/>
  <c r="L52" i="8"/>
  <c r="BT50" i="8"/>
  <c r="BT49" i="8"/>
  <c r="BT48" i="8"/>
  <c r="BO47" i="8"/>
  <c r="BJ47" i="8"/>
  <c r="BE47" i="8"/>
  <c r="AZ47" i="8"/>
  <c r="AU47" i="8"/>
  <c r="AP47" i="8"/>
  <c r="AK47" i="8"/>
  <c r="AF47" i="8"/>
  <c r="AA47" i="8"/>
  <c r="V47" i="8"/>
  <c r="Q47" i="8"/>
  <c r="L47" i="8"/>
  <c r="BT45" i="8"/>
  <c r="BT44" i="8"/>
  <c r="BT43" i="8"/>
  <c r="BO42" i="8"/>
  <c r="BJ42" i="8"/>
  <c r="BE42" i="8"/>
  <c r="AZ42" i="8"/>
  <c r="AU42" i="8"/>
  <c r="AP42" i="8"/>
  <c r="AK42" i="8"/>
  <c r="AF42" i="8"/>
  <c r="AA42" i="8"/>
  <c r="V42" i="8"/>
  <c r="Q42" i="8"/>
  <c r="L42" i="8"/>
  <c r="BT40" i="8"/>
  <c r="BT39" i="8"/>
  <c r="BT38" i="8"/>
  <c r="BO37" i="8"/>
  <c r="BJ37" i="8"/>
  <c r="BE37" i="8"/>
  <c r="AZ37" i="8"/>
  <c r="AU37" i="8"/>
  <c r="AP37" i="8"/>
  <c r="AK37" i="8"/>
  <c r="AF37" i="8"/>
  <c r="AA37" i="8"/>
  <c r="V37" i="8"/>
  <c r="Q37" i="8"/>
  <c r="L37" i="8"/>
  <c r="BT35" i="8"/>
  <c r="BT34" i="8"/>
  <c r="BT33" i="8"/>
  <c r="BO32" i="8"/>
  <c r="BJ32" i="8"/>
  <c r="BE32" i="8"/>
  <c r="AZ32" i="8"/>
  <c r="AU32" i="8"/>
  <c r="AP32" i="8"/>
  <c r="AK32" i="8"/>
  <c r="AF32" i="8"/>
  <c r="AA32" i="8"/>
  <c r="V32" i="8"/>
  <c r="Q32" i="8"/>
  <c r="L32" i="8"/>
  <c r="BT30" i="8"/>
  <c r="BT29" i="8"/>
  <c r="BT28" i="8"/>
  <c r="BO27" i="8"/>
  <c r="BJ27" i="8"/>
  <c r="BE27" i="8"/>
  <c r="AZ27" i="8"/>
  <c r="AU27" i="8"/>
  <c r="AP27" i="8"/>
  <c r="AK27" i="8"/>
  <c r="AF27" i="8"/>
  <c r="AA27" i="8"/>
  <c r="V27" i="8"/>
  <c r="Q27" i="8"/>
  <c r="L27" i="8"/>
  <c r="G27" i="8"/>
  <c r="BT25" i="8"/>
  <c r="BT24" i="8"/>
  <c r="BT23" i="8"/>
  <c r="BO22" i="8"/>
  <c r="BJ22" i="8"/>
  <c r="BE22" i="8"/>
  <c r="AZ22" i="8"/>
  <c r="AU22" i="8"/>
  <c r="AP22" i="8"/>
  <c r="AK22" i="8"/>
  <c r="AF22" i="8"/>
  <c r="AA22" i="8"/>
  <c r="V22" i="8"/>
  <c r="Q22" i="8"/>
  <c r="L22" i="8"/>
  <c r="G22" i="8"/>
  <c r="BO20" i="8"/>
  <c r="BJ20" i="8"/>
  <c r="BE20" i="8"/>
  <c r="AZ20" i="8"/>
  <c r="AU20" i="8"/>
  <c r="AP20" i="8"/>
  <c r="AK20" i="8"/>
  <c r="AF20" i="8"/>
  <c r="AA20" i="8"/>
  <c r="V20" i="8"/>
  <c r="Q20" i="8"/>
  <c r="L20" i="8"/>
  <c r="BO19" i="8"/>
  <c r="BJ19" i="8"/>
  <c r="BE19" i="8"/>
  <c r="AZ19" i="8"/>
  <c r="AU19" i="8"/>
  <c r="AP19" i="8"/>
  <c r="AK19" i="8"/>
  <c r="AF19" i="8"/>
  <c r="AA19" i="8"/>
  <c r="V19" i="8"/>
  <c r="Q19" i="8"/>
  <c r="L19" i="8"/>
  <c r="BO18" i="8"/>
  <c r="BO17" i="8" s="1"/>
  <c r="BJ18" i="8"/>
  <c r="BJ17" i="8" s="1"/>
  <c r="BJ13" i="8" s="1"/>
  <c r="BE18" i="8"/>
  <c r="BE17" i="8" s="1"/>
  <c r="BE13" i="8" s="1"/>
  <c r="AZ18" i="8"/>
  <c r="AU18" i="8"/>
  <c r="AP18" i="8"/>
  <c r="AK18" i="8"/>
  <c r="AF18" i="8"/>
  <c r="AA18" i="8"/>
  <c r="AA17" i="8" s="1"/>
  <c r="V18" i="8"/>
  <c r="Q18" i="8"/>
  <c r="L18" i="8"/>
  <c r="AP17" i="8"/>
  <c r="AK17" i="8"/>
  <c r="G17" i="8"/>
  <c r="G13" i="8" s="1"/>
  <c r="BJ15" i="8"/>
  <c r="BE15" i="8"/>
  <c r="AP15" i="8"/>
  <c r="AK15" i="8"/>
  <c r="AF15" i="8"/>
  <c r="V15" i="8"/>
  <c r="BO14" i="8"/>
  <c r="BJ14" i="8"/>
  <c r="AU14" i="8"/>
  <c r="AP14" i="8"/>
  <c r="AA14" i="8"/>
  <c r="V14" i="8"/>
  <c r="L14" i="8"/>
  <c r="G14" i="8"/>
  <c r="AK13" i="8"/>
  <c r="G9" i="8"/>
  <c r="G8" i="8"/>
  <c r="M1" i="8"/>
  <c r="BT155" i="7"/>
  <c r="BT154" i="7"/>
  <c r="BT153" i="7"/>
  <c r="BO152" i="7"/>
  <c r="BJ152" i="7"/>
  <c r="BE152" i="7"/>
  <c r="AZ152" i="7"/>
  <c r="AU152" i="7"/>
  <c r="AP152" i="7"/>
  <c r="AK152" i="7"/>
  <c r="AF152" i="7"/>
  <c r="AA152" i="7"/>
  <c r="V152" i="7"/>
  <c r="Q152" i="7"/>
  <c r="L152" i="7"/>
  <c r="G152" i="7"/>
  <c r="BT150" i="7"/>
  <c r="BT149" i="7"/>
  <c r="BT148" i="7"/>
  <c r="BO147" i="7"/>
  <c r="BJ147" i="7"/>
  <c r="BE147" i="7"/>
  <c r="AZ147" i="7"/>
  <c r="AU147" i="7"/>
  <c r="AP147" i="7"/>
  <c r="AK147" i="7"/>
  <c r="AF147" i="7"/>
  <c r="AA147" i="7"/>
  <c r="V147" i="7"/>
  <c r="Q147" i="7"/>
  <c r="L147" i="7"/>
  <c r="G147" i="7"/>
  <c r="BT145" i="7"/>
  <c r="BT144" i="7"/>
  <c r="BT143" i="7"/>
  <c r="BO142" i="7"/>
  <c r="BJ142" i="7"/>
  <c r="BE142" i="7"/>
  <c r="AZ142" i="7"/>
  <c r="AU142" i="7"/>
  <c r="AP142" i="7"/>
  <c r="AK142" i="7"/>
  <c r="AF142" i="7"/>
  <c r="AA142" i="7"/>
  <c r="V142" i="7"/>
  <c r="Q142" i="7"/>
  <c r="L142" i="7"/>
  <c r="G142" i="7"/>
  <c r="BT140" i="7"/>
  <c r="BT139" i="7"/>
  <c r="BT138" i="7"/>
  <c r="BO137" i="7"/>
  <c r="BJ137" i="7"/>
  <c r="BE137" i="7"/>
  <c r="AZ137" i="7"/>
  <c r="AU137" i="7"/>
  <c r="AP137" i="7"/>
  <c r="AK137" i="7"/>
  <c r="AF137" i="7"/>
  <c r="AA137" i="7"/>
  <c r="V137" i="7"/>
  <c r="Q137" i="7"/>
  <c r="L137" i="7"/>
  <c r="G137" i="7"/>
  <c r="BT135" i="7"/>
  <c r="BT134" i="7"/>
  <c r="BT133" i="7"/>
  <c r="BT132" i="7" s="1"/>
  <c r="BO132" i="7"/>
  <c r="BJ132" i="7"/>
  <c r="BE132" i="7"/>
  <c r="AZ132" i="7"/>
  <c r="AU132" i="7"/>
  <c r="AP132" i="7"/>
  <c r="AK132" i="7"/>
  <c r="AF132" i="7"/>
  <c r="AA132" i="7"/>
  <c r="V132" i="7"/>
  <c r="Q132" i="7"/>
  <c r="L132" i="7"/>
  <c r="G132" i="7"/>
  <c r="BT130" i="7"/>
  <c r="BT129" i="7"/>
  <c r="BT128" i="7"/>
  <c r="BO127" i="7"/>
  <c r="BJ127" i="7"/>
  <c r="BE127" i="7"/>
  <c r="AZ127" i="7"/>
  <c r="AU127" i="7"/>
  <c r="AP127" i="7"/>
  <c r="AK127" i="7"/>
  <c r="AF127" i="7"/>
  <c r="AA127" i="7"/>
  <c r="V127" i="7"/>
  <c r="Q127" i="7"/>
  <c r="L127" i="7"/>
  <c r="G127" i="7"/>
  <c r="BO125" i="7"/>
  <c r="BJ125" i="7"/>
  <c r="BE125" i="7"/>
  <c r="AZ125" i="7"/>
  <c r="AU125" i="7"/>
  <c r="AP125" i="7"/>
  <c r="AK125" i="7"/>
  <c r="AF125" i="7"/>
  <c r="AA125" i="7"/>
  <c r="V125" i="7"/>
  <c r="Q125" i="7"/>
  <c r="L125" i="7"/>
  <c r="G125" i="7"/>
  <c r="BO124" i="7"/>
  <c r="BJ124" i="7"/>
  <c r="BE124" i="7"/>
  <c r="AZ124" i="7"/>
  <c r="AZ122" i="7" s="1"/>
  <c r="AZ16" i="7" s="1"/>
  <c r="AU124" i="7"/>
  <c r="AP124" i="7"/>
  <c r="AK124" i="7"/>
  <c r="AF124" i="7"/>
  <c r="AF122" i="7" s="1"/>
  <c r="AF16" i="7" s="1"/>
  <c r="AA124" i="7"/>
  <c r="V124" i="7"/>
  <c r="Q124" i="7"/>
  <c r="L124" i="7"/>
  <c r="G124" i="7"/>
  <c r="BO123" i="7"/>
  <c r="BJ123" i="7"/>
  <c r="BE123" i="7"/>
  <c r="AZ123" i="7"/>
  <c r="AU123" i="7"/>
  <c r="AP123" i="7"/>
  <c r="AK123" i="7"/>
  <c r="AF123" i="7"/>
  <c r="AA123" i="7"/>
  <c r="V123" i="7"/>
  <c r="Q123" i="7"/>
  <c r="L123" i="7"/>
  <c r="G123" i="7"/>
  <c r="L122" i="7"/>
  <c r="BT120" i="7"/>
  <c r="BT119" i="7"/>
  <c r="BO119" i="7"/>
  <c r="BJ119" i="7"/>
  <c r="BE119" i="7"/>
  <c r="AZ119" i="7"/>
  <c r="AU119" i="7"/>
  <c r="AP119" i="7"/>
  <c r="AK119" i="7"/>
  <c r="AF119" i="7"/>
  <c r="AA119" i="7"/>
  <c r="V119" i="7"/>
  <c r="Q119" i="7"/>
  <c r="L119" i="7"/>
  <c r="G119" i="7"/>
  <c r="BT117" i="7"/>
  <c r="BT116" i="7" s="1"/>
  <c r="BO116" i="7"/>
  <c r="BJ116" i="7"/>
  <c r="BE116" i="7"/>
  <c r="AZ116" i="7"/>
  <c r="AU116" i="7"/>
  <c r="AP116" i="7"/>
  <c r="AK116" i="7"/>
  <c r="AF116" i="7"/>
  <c r="AA116" i="7"/>
  <c r="V116" i="7"/>
  <c r="Q116" i="7"/>
  <c r="L116" i="7"/>
  <c r="G116" i="7"/>
  <c r="BT114" i="7"/>
  <c r="BT113" i="7"/>
  <c r="BO113" i="7"/>
  <c r="BJ113" i="7"/>
  <c r="BE113" i="7"/>
  <c r="AZ113" i="7"/>
  <c r="AU113" i="7"/>
  <c r="AP113" i="7"/>
  <c r="AK113" i="7"/>
  <c r="AF113" i="7"/>
  <c r="AA113" i="7"/>
  <c r="V113" i="7"/>
  <c r="Q113" i="7"/>
  <c r="L113" i="7"/>
  <c r="G113" i="7"/>
  <c r="BT111" i="7"/>
  <c r="BT110" i="7" s="1"/>
  <c r="BO110" i="7"/>
  <c r="BJ110" i="7"/>
  <c r="BE110" i="7"/>
  <c r="AZ110" i="7"/>
  <c r="AU110" i="7"/>
  <c r="AP110" i="7"/>
  <c r="AK110" i="7"/>
  <c r="AF110" i="7"/>
  <c r="AA110" i="7"/>
  <c r="V110" i="7"/>
  <c r="Q110" i="7"/>
  <c r="L110" i="7"/>
  <c r="G110" i="7"/>
  <c r="BT108" i="7"/>
  <c r="BT107" i="7" s="1"/>
  <c r="BO107" i="7"/>
  <c r="BJ107" i="7"/>
  <c r="BE107" i="7"/>
  <c r="AZ107" i="7"/>
  <c r="AU107" i="7"/>
  <c r="AP107" i="7"/>
  <c r="AK107" i="7"/>
  <c r="AF107" i="7"/>
  <c r="AA107" i="7"/>
  <c r="V107" i="7"/>
  <c r="Q107" i="7"/>
  <c r="L107" i="7"/>
  <c r="G107" i="7"/>
  <c r="D107" i="7"/>
  <c r="BT105" i="7"/>
  <c r="BT104" i="7" s="1"/>
  <c r="BO104" i="7"/>
  <c r="BJ104" i="7"/>
  <c r="BE104" i="7"/>
  <c r="AZ104" i="7"/>
  <c r="AU104" i="7"/>
  <c r="AP104" i="7"/>
  <c r="AK104" i="7"/>
  <c r="AF104" i="7"/>
  <c r="AA104" i="7"/>
  <c r="V104" i="7"/>
  <c r="Q104" i="7"/>
  <c r="L104" i="7"/>
  <c r="G104" i="7"/>
  <c r="BT102" i="7"/>
  <c r="BT101" i="7" s="1"/>
  <c r="BO101" i="7"/>
  <c r="BJ101" i="7"/>
  <c r="BE101" i="7"/>
  <c r="AZ101" i="7"/>
  <c r="AU101" i="7"/>
  <c r="AP101" i="7"/>
  <c r="AK101" i="7"/>
  <c r="AF101" i="7"/>
  <c r="AA101" i="7"/>
  <c r="V101" i="7"/>
  <c r="Q101" i="7"/>
  <c r="L101" i="7"/>
  <c r="G101" i="7"/>
  <c r="BT99" i="7"/>
  <c r="BO98" i="7"/>
  <c r="BJ98" i="7"/>
  <c r="BE98" i="7"/>
  <c r="AZ98" i="7"/>
  <c r="AU98" i="7"/>
  <c r="AP98" i="7"/>
  <c r="AK98" i="7"/>
  <c r="AF98" i="7"/>
  <c r="AA98" i="7"/>
  <c r="V98" i="7"/>
  <c r="Q98" i="7"/>
  <c r="L98" i="7"/>
  <c r="G98" i="7"/>
  <c r="BT96" i="7"/>
  <c r="BT95" i="7"/>
  <c r="BO95" i="7"/>
  <c r="BJ95" i="7"/>
  <c r="BE95" i="7"/>
  <c r="AZ95" i="7"/>
  <c r="AU95" i="7"/>
  <c r="AP95" i="7"/>
  <c r="AK95" i="7"/>
  <c r="AF95" i="7"/>
  <c r="AA95" i="7"/>
  <c r="V95" i="7"/>
  <c r="Q95" i="7"/>
  <c r="L95" i="7"/>
  <c r="G95" i="7"/>
  <c r="BT93" i="7"/>
  <c r="BT92" i="7" s="1"/>
  <c r="BO92" i="7"/>
  <c r="BJ92" i="7"/>
  <c r="BE92" i="7"/>
  <c r="AZ92" i="7"/>
  <c r="AU92" i="7"/>
  <c r="AP92" i="7"/>
  <c r="AK92" i="7"/>
  <c r="AF92" i="7"/>
  <c r="AA92" i="7"/>
  <c r="V92" i="7"/>
  <c r="Q92" i="7"/>
  <c r="L92" i="7"/>
  <c r="G92" i="7"/>
  <c r="D92" i="7"/>
  <c r="BT90" i="7"/>
  <c r="BT89" i="7" s="1"/>
  <c r="BO89" i="7"/>
  <c r="BJ89" i="7"/>
  <c r="BE89" i="7"/>
  <c r="AZ89" i="7"/>
  <c r="AU89" i="7"/>
  <c r="AP89" i="7"/>
  <c r="AK89" i="7"/>
  <c r="AF89" i="7"/>
  <c r="AA89" i="7"/>
  <c r="V89" i="7"/>
  <c r="Q89" i="7"/>
  <c r="L89" i="7"/>
  <c r="G89" i="7"/>
  <c r="D89" i="7"/>
  <c r="BT87" i="7"/>
  <c r="BO86" i="7"/>
  <c r="BJ86" i="7"/>
  <c r="BE86" i="7"/>
  <c r="AZ86" i="7"/>
  <c r="AU86" i="7"/>
  <c r="AP86" i="7"/>
  <c r="AK86" i="7"/>
  <c r="AF86" i="7"/>
  <c r="AA86" i="7"/>
  <c r="V86" i="7"/>
  <c r="Q86" i="7"/>
  <c r="L86" i="7"/>
  <c r="G86" i="7"/>
  <c r="BT84" i="7"/>
  <c r="BT83" i="7"/>
  <c r="BO83" i="7"/>
  <c r="BJ83" i="7"/>
  <c r="BE83" i="7"/>
  <c r="AZ83" i="7"/>
  <c r="AU83" i="7"/>
  <c r="AP83" i="7"/>
  <c r="AK83" i="7"/>
  <c r="AF83" i="7"/>
  <c r="AA83" i="7"/>
  <c r="V83" i="7"/>
  <c r="Q83" i="7"/>
  <c r="L83" i="7"/>
  <c r="G83" i="7"/>
  <c r="BT81" i="7"/>
  <c r="BO80" i="7"/>
  <c r="BJ80" i="7"/>
  <c r="BE80" i="7"/>
  <c r="AZ80" i="7"/>
  <c r="AU80" i="7"/>
  <c r="AP80" i="7"/>
  <c r="AK80" i="7"/>
  <c r="AF80" i="7"/>
  <c r="AA80" i="7"/>
  <c r="V80" i="7"/>
  <c r="Q80" i="7"/>
  <c r="M80" i="7"/>
  <c r="L80" i="7"/>
  <c r="G80" i="7"/>
  <c r="BT78" i="7"/>
  <c r="BT77" i="7" s="1"/>
  <c r="BO77" i="7"/>
  <c r="BJ77" i="7"/>
  <c r="BE77" i="7"/>
  <c r="AZ77" i="7"/>
  <c r="AU77" i="7"/>
  <c r="AP77" i="7"/>
  <c r="AK77" i="7"/>
  <c r="AF77" i="7"/>
  <c r="AA77" i="7"/>
  <c r="V77" i="7"/>
  <c r="Q77" i="7"/>
  <c r="L77" i="7"/>
  <c r="G77" i="7"/>
  <c r="BT75" i="7"/>
  <c r="BO74" i="7"/>
  <c r="BJ74" i="7"/>
  <c r="BE74" i="7"/>
  <c r="AZ74" i="7"/>
  <c r="AU74" i="7"/>
  <c r="AP74" i="7"/>
  <c r="AK74" i="7"/>
  <c r="AF74" i="7"/>
  <c r="AA74" i="7"/>
  <c r="V74" i="7"/>
  <c r="Q74" i="7"/>
  <c r="L74" i="7"/>
  <c r="G74" i="7"/>
  <c r="D74" i="7"/>
  <c r="BT72" i="7"/>
  <c r="BO71" i="7"/>
  <c r="BJ71" i="7"/>
  <c r="BE71" i="7"/>
  <c r="AZ71" i="7"/>
  <c r="AU71" i="7"/>
  <c r="AP71" i="7"/>
  <c r="AK71" i="7"/>
  <c r="AF71" i="7"/>
  <c r="AA71" i="7"/>
  <c r="V71" i="7"/>
  <c r="Q71" i="7"/>
  <c r="L71" i="7"/>
  <c r="BT69" i="7"/>
  <c r="BO68" i="7"/>
  <c r="BJ68" i="7"/>
  <c r="BE68" i="7"/>
  <c r="AZ68" i="7"/>
  <c r="AU68" i="7"/>
  <c r="AP68" i="7"/>
  <c r="AK68" i="7"/>
  <c r="AF68" i="7"/>
  <c r="AA68" i="7"/>
  <c r="V68" i="7"/>
  <c r="Q68" i="7"/>
  <c r="L68" i="7"/>
  <c r="BO66" i="7"/>
  <c r="AU66" i="7"/>
  <c r="AU65" i="7" s="1"/>
  <c r="AU15" i="7" s="1"/>
  <c r="AP66" i="7"/>
  <c r="AK66" i="7"/>
  <c r="AF66" i="7"/>
  <c r="V66" i="7"/>
  <c r="Q66" i="7"/>
  <c r="L66" i="7"/>
  <c r="G66" i="7"/>
  <c r="G65" i="7" s="1"/>
  <c r="G15" i="7" s="1"/>
  <c r="BJ65" i="7"/>
  <c r="BE65" i="7"/>
  <c r="AZ65" i="7"/>
  <c r="AA65" i="7"/>
  <c r="BT63" i="7"/>
  <c r="BT62" i="7"/>
  <c r="BT61" i="7"/>
  <c r="BO60" i="7"/>
  <c r="BJ60" i="7"/>
  <c r="BE60" i="7"/>
  <c r="AZ60" i="7"/>
  <c r="AU60" i="7"/>
  <c r="AP60" i="7"/>
  <c r="AK60" i="7"/>
  <c r="AF60" i="7"/>
  <c r="AA60" i="7"/>
  <c r="V60" i="7"/>
  <c r="Q60" i="7"/>
  <c r="L60" i="7"/>
  <c r="G60" i="7"/>
  <c r="BT58" i="7"/>
  <c r="BT57" i="7"/>
  <c r="BT56" i="7"/>
  <c r="BO55" i="7"/>
  <c r="BJ55" i="7"/>
  <c r="BE55" i="7"/>
  <c r="AZ55" i="7"/>
  <c r="AU55" i="7"/>
  <c r="AP55" i="7"/>
  <c r="AK55" i="7"/>
  <c r="AF55" i="7"/>
  <c r="AA55" i="7"/>
  <c r="V55" i="7"/>
  <c r="Q55" i="7"/>
  <c r="L55" i="7"/>
  <c r="G55" i="7"/>
  <c r="BT53" i="7"/>
  <c r="BT52" i="7"/>
  <c r="BT51" i="7"/>
  <c r="BO50" i="7"/>
  <c r="BJ50" i="7"/>
  <c r="BE50" i="7"/>
  <c r="AZ50" i="7"/>
  <c r="AU50" i="7"/>
  <c r="AP50" i="7"/>
  <c r="AK50" i="7"/>
  <c r="AF50" i="7"/>
  <c r="AA50" i="7"/>
  <c r="V50" i="7"/>
  <c r="Q50" i="7"/>
  <c r="L50" i="7"/>
  <c r="BT48" i="7"/>
  <c r="BT47" i="7"/>
  <c r="BT46" i="7"/>
  <c r="BO45" i="7"/>
  <c r="BJ45" i="7"/>
  <c r="BE45" i="7"/>
  <c r="AZ45" i="7"/>
  <c r="AU45" i="7"/>
  <c r="AP45" i="7"/>
  <c r="AK45" i="7"/>
  <c r="AF45" i="7"/>
  <c r="AA45" i="7"/>
  <c r="V45" i="7"/>
  <c r="Q45" i="7"/>
  <c r="L45" i="7"/>
  <c r="G45" i="7"/>
  <c r="BT43" i="7"/>
  <c r="BT42" i="7"/>
  <c r="BT41" i="7"/>
  <c r="BO40" i="7"/>
  <c r="BJ40" i="7"/>
  <c r="BE40" i="7"/>
  <c r="AZ40" i="7"/>
  <c r="AU40" i="7"/>
  <c r="AP40" i="7"/>
  <c r="AK40" i="7"/>
  <c r="AF40" i="7"/>
  <c r="AA40" i="7"/>
  <c r="V40" i="7"/>
  <c r="Q40" i="7"/>
  <c r="L40" i="7"/>
  <c r="BT38" i="7"/>
  <c r="BT37" i="7"/>
  <c r="BT32" i="7" s="1"/>
  <c r="BT36" i="7"/>
  <c r="BO35" i="7"/>
  <c r="BJ35" i="7"/>
  <c r="BE35" i="7"/>
  <c r="AZ35" i="7"/>
  <c r="AU35" i="7"/>
  <c r="AP35" i="7"/>
  <c r="AK35" i="7"/>
  <c r="AF35" i="7"/>
  <c r="AA35" i="7"/>
  <c r="V35" i="7"/>
  <c r="Q35" i="7"/>
  <c r="L35" i="7"/>
  <c r="Q31" i="7"/>
  <c r="Q30" i="7" s="1"/>
  <c r="Q14" i="7" s="1"/>
  <c r="G31" i="7"/>
  <c r="G30" i="7" s="1"/>
  <c r="G14" i="7" s="1"/>
  <c r="BO30" i="7"/>
  <c r="BO14" i="7" s="1"/>
  <c r="BJ30" i="7"/>
  <c r="BE30" i="7"/>
  <c r="BE14" i="7" s="1"/>
  <c r="AZ30" i="7"/>
  <c r="AZ14" i="7" s="1"/>
  <c r="AU30" i="7"/>
  <c r="AP30" i="7"/>
  <c r="AK30" i="7"/>
  <c r="AK14" i="7" s="1"/>
  <c r="AF30" i="7"/>
  <c r="AF14" i="7" s="1"/>
  <c r="AA30" i="7"/>
  <c r="V30" i="7"/>
  <c r="L30" i="7"/>
  <c r="L14" i="7" s="1"/>
  <c r="BT28" i="7"/>
  <c r="BT27" i="7"/>
  <c r="BT26" i="7"/>
  <c r="BT25" i="7"/>
  <c r="BT24" i="7"/>
  <c r="BT23" i="7"/>
  <c r="BT22" i="7"/>
  <c r="BT21" i="7"/>
  <c r="BT20" i="7"/>
  <c r="BT19" i="7"/>
  <c r="BO18" i="7"/>
  <c r="BJ18" i="7"/>
  <c r="BJ13" i="7" s="1"/>
  <c r="BE18" i="7"/>
  <c r="BE13" i="7" s="1"/>
  <c r="AZ18" i="7"/>
  <c r="AU18" i="7"/>
  <c r="AP18" i="7"/>
  <c r="AP13" i="7" s="1"/>
  <c r="AK18" i="7"/>
  <c r="AF18" i="7"/>
  <c r="AA18" i="7"/>
  <c r="V18" i="7"/>
  <c r="V13" i="7" s="1"/>
  <c r="Q18" i="7"/>
  <c r="Q13" i="7" s="1"/>
  <c r="L18" i="7"/>
  <c r="G18" i="7"/>
  <c r="L16" i="7"/>
  <c r="G16" i="7"/>
  <c r="BE15" i="7"/>
  <c r="AZ15" i="7"/>
  <c r="AA15" i="7"/>
  <c r="BJ14" i="7"/>
  <c r="AP14" i="7"/>
  <c r="V14" i="7"/>
  <c r="BO13" i="7"/>
  <c r="AU13" i="7"/>
  <c r="AK13" i="7"/>
  <c r="AA13" i="7"/>
  <c r="G13" i="7"/>
  <c r="G9" i="7"/>
  <c r="G8" i="7"/>
  <c r="M1" i="7"/>
  <c r="BT348" i="6"/>
  <c r="BO347" i="6"/>
  <c r="BJ347" i="6"/>
  <c r="BE347" i="6"/>
  <c r="AZ347" i="6"/>
  <c r="AU347" i="6"/>
  <c r="AP347" i="6"/>
  <c r="AK347" i="6"/>
  <c r="AF347" i="6"/>
  <c r="AA347" i="6"/>
  <c r="V347" i="6"/>
  <c r="Q347" i="6"/>
  <c r="L347" i="6"/>
  <c r="BT345" i="6"/>
  <c r="BT344" i="6" s="1"/>
  <c r="BO344" i="6"/>
  <c r="BJ344" i="6"/>
  <c r="BE344" i="6"/>
  <c r="AZ344" i="6"/>
  <c r="AU344" i="6"/>
  <c r="AP344" i="6"/>
  <c r="AK344" i="6"/>
  <c r="AF344" i="6"/>
  <c r="AA344" i="6"/>
  <c r="V344" i="6"/>
  <c r="Q344" i="6"/>
  <c r="L344" i="6"/>
  <c r="G344" i="6"/>
  <c r="BT342" i="6"/>
  <c r="BO341" i="6"/>
  <c r="BJ341" i="6"/>
  <c r="BE341" i="6"/>
  <c r="AZ341" i="6"/>
  <c r="AU341" i="6"/>
  <c r="AP341" i="6"/>
  <c r="AK341" i="6"/>
  <c r="AF341" i="6"/>
  <c r="AA341" i="6"/>
  <c r="V341" i="6"/>
  <c r="Q341" i="6"/>
  <c r="L341" i="6"/>
  <c r="BT339" i="6"/>
  <c r="BT338" i="6" s="1"/>
  <c r="BO338" i="6"/>
  <c r="BJ338" i="6"/>
  <c r="BE338" i="6"/>
  <c r="AZ338" i="6"/>
  <c r="AU338" i="6"/>
  <c r="AP338" i="6"/>
  <c r="AK338" i="6"/>
  <c r="AF338" i="6"/>
  <c r="AA338" i="6"/>
  <c r="V338" i="6"/>
  <c r="Q338" i="6"/>
  <c r="L338" i="6"/>
  <c r="BT336" i="6"/>
  <c r="BO335" i="6"/>
  <c r="BJ335" i="6"/>
  <c r="BE335" i="6"/>
  <c r="AZ335" i="6"/>
  <c r="AU335" i="6"/>
  <c r="AP335" i="6"/>
  <c r="AK335" i="6"/>
  <c r="AF335" i="6"/>
  <c r="AA335" i="6"/>
  <c r="V335" i="6"/>
  <c r="Q335" i="6"/>
  <c r="L335" i="6"/>
  <c r="G335" i="6"/>
  <c r="BT333" i="6"/>
  <c r="BO332" i="6"/>
  <c r="BJ332" i="6"/>
  <c r="BE332" i="6"/>
  <c r="AZ332" i="6"/>
  <c r="AU332" i="6"/>
  <c r="AP332" i="6"/>
  <c r="AK332" i="6"/>
  <c r="AF332" i="6"/>
  <c r="AA332" i="6"/>
  <c r="V332" i="6"/>
  <c r="Q332" i="6"/>
  <c r="L332" i="6"/>
  <c r="BT330" i="6"/>
  <c r="BT329" i="6" s="1"/>
  <c r="BO329" i="6"/>
  <c r="BJ329" i="6"/>
  <c r="BE329" i="6"/>
  <c r="AZ329" i="6"/>
  <c r="AU329" i="6"/>
  <c r="AP329" i="6"/>
  <c r="AK329" i="6"/>
  <c r="AF329" i="6"/>
  <c r="AA329" i="6"/>
  <c r="V329" i="6"/>
  <c r="Q329" i="6"/>
  <c r="L329" i="6"/>
  <c r="BT327" i="6"/>
  <c r="BO326" i="6"/>
  <c r="BJ326" i="6"/>
  <c r="BE326" i="6"/>
  <c r="AZ326" i="6"/>
  <c r="AU326" i="6"/>
  <c r="AP326" i="6"/>
  <c r="AK326" i="6"/>
  <c r="AF326" i="6"/>
  <c r="AA326" i="6"/>
  <c r="V326" i="6"/>
  <c r="Q326" i="6"/>
  <c r="L326" i="6"/>
  <c r="BT324" i="6"/>
  <c r="BT323" i="6"/>
  <c r="BQ323" i="6"/>
  <c r="BP323" i="6"/>
  <c r="BO323" i="6"/>
  <c r="BN323" i="6"/>
  <c r="BM323" i="6"/>
  <c r="BL323" i="6"/>
  <c r="BK323" i="6"/>
  <c r="BJ323" i="6"/>
  <c r="BI323" i="6"/>
  <c r="BH323" i="6"/>
  <c r="BG323" i="6"/>
  <c r="BF323" i="6"/>
  <c r="BE323" i="6"/>
  <c r="BD323" i="6"/>
  <c r="BC323" i="6"/>
  <c r="BB323" i="6"/>
  <c r="BA323" i="6"/>
  <c r="AZ323" i="6"/>
  <c r="AY323" i="6"/>
  <c r="AX323" i="6"/>
  <c r="AW323" i="6"/>
  <c r="AV323" i="6"/>
  <c r="AU323" i="6"/>
  <c r="AT323" i="6"/>
  <c r="AS323" i="6"/>
  <c r="AR323" i="6"/>
  <c r="AQ323" i="6"/>
  <c r="AP323" i="6"/>
  <c r="AO323" i="6"/>
  <c r="AN323" i="6"/>
  <c r="AM323" i="6"/>
  <c r="AL323" i="6"/>
  <c r="AK323" i="6"/>
  <c r="AJ323" i="6"/>
  <c r="AI323" i="6"/>
  <c r="AH323" i="6"/>
  <c r="AG323" i="6"/>
  <c r="AF323" i="6"/>
  <c r="AE323" i="6"/>
  <c r="AD323" i="6"/>
  <c r="AC323" i="6"/>
  <c r="AB323" i="6"/>
  <c r="AA323" i="6"/>
  <c r="Z323" i="6"/>
  <c r="V323" i="6"/>
  <c r="Q323" i="6"/>
  <c r="L323" i="6"/>
  <c r="BT320" i="6"/>
  <c r="BO319" i="6"/>
  <c r="BJ319" i="6"/>
  <c r="BE319" i="6"/>
  <c r="AZ319" i="6"/>
  <c r="AU319" i="6"/>
  <c r="AP319" i="6"/>
  <c r="AK319" i="6"/>
  <c r="AF319" i="6"/>
  <c r="AA319" i="6"/>
  <c r="V319" i="6"/>
  <c r="Q319" i="6"/>
  <c r="L319" i="6"/>
  <c r="D319" i="6"/>
  <c r="BO316" i="6"/>
  <c r="BJ316" i="6"/>
  <c r="BJ315" i="6" s="1"/>
  <c r="BJ16" i="6" s="1"/>
  <c r="BE316" i="6"/>
  <c r="BE315" i="6" s="1"/>
  <c r="BE16" i="6" s="1"/>
  <c r="AZ316" i="6"/>
  <c r="AU316" i="6"/>
  <c r="AP316" i="6"/>
  <c r="AK316" i="6"/>
  <c r="AK315" i="6" s="1"/>
  <c r="AA316" i="6"/>
  <c r="AA315" i="6" s="1"/>
  <c r="V316" i="6"/>
  <c r="V315" i="6" s="1"/>
  <c r="Q316" i="6"/>
  <c r="Q315" i="6" s="1"/>
  <c r="Q16" i="6" s="1"/>
  <c r="L316" i="6"/>
  <c r="BO315" i="6"/>
  <c r="BO16" i="6" s="1"/>
  <c r="AU315" i="6"/>
  <c r="AU286" i="6" s="1"/>
  <c r="AP315" i="6"/>
  <c r="AP286" i="6" s="1"/>
  <c r="AF315" i="6"/>
  <c r="AF286" i="6" s="1"/>
  <c r="AF285" i="6" s="1"/>
  <c r="AF15" i="6" s="1"/>
  <c r="G315" i="6"/>
  <c r="G286" i="6" s="1"/>
  <c r="G285" i="6" s="1"/>
  <c r="G15" i="6" s="1"/>
  <c r="BT313" i="6"/>
  <c r="BO312" i="6"/>
  <c r="BJ312" i="6"/>
  <c r="BE312" i="6"/>
  <c r="AZ312" i="6"/>
  <c r="AU312" i="6"/>
  <c r="AP312" i="6"/>
  <c r="AK312" i="6"/>
  <c r="AF312" i="6"/>
  <c r="AA312" i="6"/>
  <c r="V312" i="6"/>
  <c r="Q312" i="6"/>
  <c r="L312" i="6"/>
  <c r="BT310" i="6"/>
  <c r="BT309" i="6" s="1"/>
  <c r="BO309" i="6"/>
  <c r="BJ309" i="6"/>
  <c r="BE309" i="6"/>
  <c r="AZ309" i="6"/>
  <c r="AU309" i="6"/>
  <c r="AP309" i="6"/>
  <c r="AK309" i="6"/>
  <c r="AF309" i="6"/>
  <c r="AA309" i="6"/>
  <c r="V309" i="6"/>
  <c r="Q309" i="6"/>
  <c r="L309" i="6"/>
  <c r="BT307" i="6"/>
  <c r="BO306" i="6"/>
  <c r="BJ306" i="6"/>
  <c r="BE306" i="6"/>
  <c r="AZ306" i="6"/>
  <c r="AU306" i="6"/>
  <c r="AP306" i="6"/>
  <c r="AK306" i="6"/>
  <c r="AF306" i="6"/>
  <c r="AA306" i="6"/>
  <c r="V306" i="6"/>
  <c r="Q306" i="6"/>
  <c r="L306" i="6"/>
  <c r="G306" i="6"/>
  <c r="BT304" i="6"/>
  <c r="BO303" i="6"/>
  <c r="BJ303" i="6"/>
  <c r="BE303" i="6"/>
  <c r="AZ303" i="6"/>
  <c r="AU303" i="6"/>
  <c r="AP303" i="6"/>
  <c r="AK303" i="6"/>
  <c r="AF303" i="6"/>
  <c r="AA303" i="6"/>
  <c r="V303" i="6"/>
  <c r="Q303" i="6"/>
  <c r="L303" i="6"/>
  <c r="G303" i="6"/>
  <c r="BT301" i="6"/>
  <c r="BO300" i="6"/>
  <c r="BJ300" i="6"/>
  <c r="BE300" i="6"/>
  <c r="AK300" i="6"/>
  <c r="AA300" i="6"/>
  <c r="Q300" i="6"/>
  <c r="L300" i="6"/>
  <c r="G300" i="6"/>
  <c r="BT298" i="6"/>
  <c r="BO297" i="6"/>
  <c r="BJ297" i="6"/>
  <c r="BE297" i="6"/>
  <c r="AZ297" i="6"/>
  <c r="AU297" i="6"/>
  <c r="AP297" i="6"/>
  <c r="AK297" i="6"/>
  <c r="AF297" i="6"/>
  <c r="AA297" i="6"/>
  <c r="V297" i="6"/>
  <c r="Q297" i="6"/>
  <c r="L297" i="6"/>
  <c r="G297" i="6"/>
  <c r="BT295" i="6"/>
  <c r="BO294" i="6"/>
  <c r="BJ294" i="6"/>
  <c r="BE294" i="6"/>
  <c r="AZ294" i="6"/>
  <c r="AU294" i="6"/>
  <c r="AP294" i="6"/>
  <c r="AK294" i="6"/>
  <c r="AF294" i="6"/>
  <c r="AA294" i="6"/>
  <c r="V294" i="6"/>
  <c r="Q294" i="6"/>
  <c r="L294" i="6"/>
  <c r="G294" i="6"/>
  <c r="BT292" i="6"/>
  <c r="BT291" i="6"/>
  <c r="BO291" i="6"/>
  <c r="BJ291" i="6"/>
  <c r="BE291" i="6"/>
  <c r="AZ291" i="6"/>
  <c r="AU291" i="6"/>
  <c r="AP291" i="6"/>
  <c r="AK291" i="6"/>
  <c r="AF291" i="6"/>
  <c r="AA291" i="6"/>
  <c r="V291" i="6"/>
  <c r="Q291" i="6"/>
  <c r="L291" i="6"/>
  <c r="G291" i="6"/>
  <c r="BT289" i="6"/>
  <c r="BT288" i="6" s="1"/>
  <c r="BO288" i="6"/>
  <c r="BJ288" i="6"/>
  <c r="BE288" i="6"/>
  <c r="AZ288" i="6"/>
  <c r="AU288" i="6"/>
  <c r="AP288" i="6"/>
  <c r="AK288" i="6"/>
  <c r="AF288" i="6"/>
  <c r="AA288" i="6"/>
  <c r="V288" i="6"/>
  <c r="Q288" i="6"/>
  <c r="L288" i="6"/>
  <c r="BJ285" i="6"/>
  <c r="BE285" i="6"/>
  <c r="AZ285" i="6"/>
  <c r="BT283" i="6"/>
  <c r="BT282" i="6"/>
  <c r="BT281" i="6"/>
  <c r="BO280" i="6"/>
  <c r="BJ280" i="6"/>
  <c r="BE280" i="6"/>
  <c r="AZ280" i="6"/>
  <c r="AU280" i="6"/>
  <c r="AP280" i="6"/>
  <c r="AK280" i="6"/>
  <c r="AF280" i="6"/>
  <c r="AA280" i="6"/>
  <c r="V280" i="6"/>
  <c r="Q280" i="6"/>
  <c r="L280" i="6"/>
  <c r="G280" i="6"/>
  <c r="BT278" i="6"/>
  <c r="BT277" i="6"/>
  <c r="BT276" i="6"/>
  <c r="BO275" i="6"/>
  <c r="BJ275" i="6"/>
  <c r="BE275" i="6"/>
  <c r="AZ275" i="6"/>
  <c r="AU275" i="6"/>
  <c r="AP275" i="6"/>
  <c r="AK275" i="6"/>
  <c r="AF275" i="6"/>
  <c r="AA275" i="6"/>
  <c r="V275" i="6"/>
  <c r="Q275" i="6"/>
  <c r="L275" i="6"/>
  <c r="G275" i="6"/>
  <c r="BT273" i="6"/>
  <c r="BT272" i="6"/>
  <c r="BT271" i="6"/>
  <c r="BO270" i="6"/>
  <c r="BJ270" i="6"/>
  <c r="BE270" i="6"/>
  <c r="AZ270" i="6"/>
  <c r="AU270" i="6"/>
  <c r="AP270" i="6"/>
  <c r="AK270" i="6"/>
  <c r="AF270" i="6"/>
  <c r="AA270" i="6"/>
  <c r="V270" i="6"/>
  <c r="Q270" i="6"/>
  <c r="L270" i="6"/>
  <c r="G270" i="6"/>
  <c r="BT268" i="6"/>
  <c r="BT267" i="6"/>
  <c r="BT266" i="6"/>
  <c r="BT265" i="6"/>
  <c r="BO264" i="6"/>
  <c r="BJ264" i="6"/>
  <c r="BE264" i="6"/>
  <c r="AZ264" i="6"/>
  <c r="AU264" i="6"/>
  <c r="AP264" i="6"/>
  <c r="AK264" i="6"/>
  <c r="AF264" i="6"/>
  <c r="AA264" i="6"/>
  <c r="V264" i="6"/>
  <c r="Q264" i="6"/>
  <c r="L264" i="6"/>
  <c r="BT262" i="6"/>
  <c r="BT261" i="6"/>
  <c r="BT260" i="6"/>
  <c r="BT259" i="6"/>
  <c r="BO258" i="6"/>
  <c r="BJ258" i="6"/>
  <c r="BE258" i="6"/>
  <c r="AZ258" i="6"/>
  <c r="AU258" i="6"/>
  <c r="AP258" i="6"/>
  <c r="AK258" i="6"/>
  <c r="AF258" i="6"/>
  <c r="AA258" i="6"/>
  <c r="V258" i="6"/>
  <c r="Q258" i="6"/>
  <c r="L258" i="6"/>
  <c r="BT256" i="6"/>
  <c r="BT255" i="6"/>
  <c r="BT254" i="6"/>
  <c r="BT253" i="6"/>
  <c r="AP252" i="6"/>
  <c r="AF252" i="6"/>
  <c r="V252" i="6"/>
  <c r="Q252" i="6"/>
  <c r="BT250" i="6"/>
  <c r="BT249" i="6"/>
  <c r="BT247" i="6" s="1"/>
  <c r="BT248" i="6"/>
  <c r="BO247" i="6"/>
  <c r="BJ247" i="6"/>
  <c r="BE247" i="6"/>
  <c r="AZ247" i="6"/>
  <c r="AU247" i="6"/>
  <c r="AP247" i="6"/>
  <c r="AK247" i="6"/>
  <c r="AF247" i="6"/>
  <c r="AA247" i="6"/>
  <c r="V247" i="6"/>
  <c r="Q247" i="6"/>
  <c r="L247" i="6"/>
  <c r="G247" i="6"/>
  <c r="BT245" i="6"/>
  <c r="BT244" i="6"/>
  <c r="BT243" i="6"/>
  <c r="BO242" i="6"/>
  <c r="BJ242" i="6"/>
  <c r="BE242" i="6"/>
  <c r="AZ242" i="6"/>
  <c r="AU242" i="6"/>
  <c r="AP242" i="6"/>
  <c r="AK242" i="6"/>
  <c r="AF242" i="6"/>
  <c r="AA242" i="6"/>
  <c r="V242" i="6"/>
  <c r="Q242" i="6"/>
  <c r="L242" i="6"/>
  <c r="G242" i="6"/>
  <c r="BT240" i="6"/>
  <c r="BT239" i="6"/>
  <c r="BT238" i="6"/>
  <c r="BO237" i="6"/>
  <c r="BJ237" i="6"/>
  <c r="BE237" i="6"/>
  <c r="AZ237" i="6"/>
  <c r="AU237" i="6"/>
  <c r="AP237" i="6"/>
  <c r="AK237" i="6"/>
  <c r="AF237" i="6"/>
  <c r="AA237" i="6"/>
  <c r="V237" i="6"/>
  <c r="Q237" i="6"/>
  <c r="L237" i="6"/>
  <c r="G237" i="6"/>
  <c r="BT235" i="6"/>
  <c r="BT234" i="6"/>
  <c r="BT233" i="6"/>
  <c r="BT232" i="6"/>
  <c r="BJ231" i="6"/>
  <c r="AZ231" i="6"/>
  <c r="AU231" i="6"/>
  <c r="AK231" i="6"/>
  <c r="AF231" i="6"/>
  <c r="Q231" i="6"/>
  <c r="D231" i="6"/>
  <c r="BT229" i="6"/>
  <c r="BT228" i="6"/>
  <c r="BT227" i="6"/>
  <c r="BO226" i="6"/>
  <c r="BJ226" i="6"/>
  <c r="BE226" i="6"/>
  <c r="AZ226" i="6"/>
  <c r="AU226" i="6"/>
  <c r="AP226" i="6"/>
  <c r="AK226" i="6"/>
  <c r="AF226" i="6"/>
  <c r="AA226" i="6"/>
  <c r="V226" i="6"/>
  <c r="Q226" i="6"/>
  <c r="L226" i="6"/>
  <c r="G226" i="6"/>
  <c r="BT224" i="6"/>
  <c r="BT223" i="6"/>
  <c r="BT222" i="6"/>
  <c r="BO221" i="6"/>
  <c r="BJ221" i="6"/>
  <c r="BE221" i="6"/>
  <c r="AZ221" i="6"/>
  <c r="AU221" i="6"/>
  <c r="AP221" i="6"/>
  <c r="AK221" i="6"/>
  <c r="AF221" i="6"/>
  <c r="AA221" i="6"/>
  <c r="V221" i="6"/>
  <c r="Q221" i="6"/>
  <c r="L221" i="6"/>
  <c r="G221" i="6"/>
  <c r="BO219" i="6"/>
  <c r="BJ219" i="6"/>
  <c r="BE219" i="6"/>
  <c r="AZ219" i="6"/>
  <c r="AU219" i="6"/>
  <c r="AP219" i="6"/>
  <c r="AK219" i="6"/>
  <c r="AF219" i="6"/>
  <c r="AA219" i="6"/>
  <c r="V219" i="6"/>
  <c r="Q219" i="6"/>
  <c r="L219" i="6"/>
  <c r="G219" i="6"/>
  <c r="BO218" i="6"/>
  <c r="BJ218" i="6"/>
  <c r="BE218" i="6"/>
  <c r="AZ218" i="6"/>
  <c r="AU218" i="6"/>
  <c r="AP218" i="6"/>
  <c r="AK218" i="6"/>
  <c r="AF218" i="6"/>
  <c r="AA218" i="6"/>
  <c r="V218" i="6"/>
  <c r="Q218" i="6"/>
  <c r="L218" i="6"/>
  <c r="G218" i="6"/>
  <c r="BT217" i="6"/>
  <c r="BO217" i="6"/>
  <c r="BJ217" i="6"/>
  <c r="BE217" i="6"/>
  <c r="AZ217" i="6"/>
  <c r="AU217" i="6"/>
  <c r="AP217" i="6"/>
  <c r="AK217" i="6"/>
  <c r="AF217" i="6"/>
  <c r="AA217" i="6"/>
  <c r="V217" i="6"/>
  <c r="Q217" i="6"/>
  <c r="L217" i="6"/>
  <c r="G217" i="6"/>
  <c r="BO216" i="6"/>
  <c r="BJ216" i="6"/>
  <c r="BE216" i="6"/>
  <c r="AZ216" i="6"/>
  <c r="AU216" i="6"/>
  <c r="AP216" i="6"/>
  <c r="AK216" i="6"/>
  <c r="AF216" i="6"/>
  <c r="AA216" i="6"/>
  <c r="V216" i="6"/>
  <c r="Q216" i="6"/>
  <c r="Q215" i="6" s="1"/>
  <c r="Q14" i="6" s="1"/>
  <c r="L216" i="6"/>
  <c r="G216" i="6"/>
  <c r="BO215" i="6"/>
  <c r="BO14" i="6" s="1"/>
  <c r="L215" i="6"/>
  <c r="BT213" i="6"/>
  <c r="BT212" i="6"/>
  <c r="BT211" i="6"/>
  <c r="BT210" i="6"/>
  <c r="BT209" i="6"/>
  <c r="BT208" i="6"/>
  <c r="BT207" i="6"/>
  <c r="BO206" i="6"/>
  <c r="BJ206" i="6"/>
  <c r="BE206" i="6"/>
  <c r="AZ206" i="6"/>
  <c r="AU206" i="6"/>
  <c r="AP206" i="6"/>
  <c r="AK206" i="6"/>
  <c r="AF206" i="6"/>
  <c r="AA206" i="6"/>
  <c r="V206" i="6"/>
  <c r="Q206" i="6"/>
  <c r="L206" i="6"/>
  <c r="G206" i="6"/>
  <c r="BT204" i="6"/>
  <c r="BT203" i="6"/>
  <c r="BT202" i="6"/>
  <c r="BT201" i="6"/>
  <c r="BT200" i="6"/>
  <c r="BT199" i="6"/>
  <c r="BT198" i="6"/>
  <c r="BT197" i="6"/>
  <c r="BT196" i="6"/>
  <c r="BT195" i="6"/>
  <c r="BT194" i="6"/>
  <c r="BT193" i="6"/>
  <c r="BO192" i="6"/>
  <c r="BJ192" i="6"/>
  <c r="BE192" i="6"/>
  <c r="AZ192" i="6"/>
  <c r="AU192" i="6"/>
  <c r="AP192" i="6"/>
  <c r="AK192" i="6"/>
  <c r="AF192" i="6"/>
  <c r="AA192" i="6"/>
  <c r="V192" i="6"/>
  <c r="Q192" i="6"/>
  <c r="L192" i="6"/>
  <c r="BT181" i="6"/>
  <c r="BT180" i="6"/>
  <c r="AK179" i="6"/>
  <c r="AK178" i="6" s="1"/>
  <c r="AF179" i="6"/>
  <c r="AA179" i="6"/>
  <c r="V179" i="6"/>
  <c r="BO178" i="6"/>
  <c r="BJ178" i="6"/>
  <c r="BE178" i="6"/>
  <c r="AZ178" i="6"/>
  <c r="AU178" i="6"/>
  <c r="AP178" i="6"/>
  <c r="AA178" i="6"/>
  <c r="Q178" i="6"/>
  <c r="L178" i="6"/>
  <c r="G178" i="6"/>
  <c r="BT176" i="6"/>
  <c r="BT175" i="6"/>
  <c r="AK174" i="6"/>
  <c r="AF174" i="6"/>
  <c r="BO173" i="6"/>
  <c r="BJ173" i="6"/>
  <c r="BE173" i="6"/>
  <c r="AZ173" i="6"/>
  <c r="AU173" i="6"/>
  <c r="AP173" i="6"/>
  <c r="AF173" i="6"/>
  <c r="AA173" i="6"/>
  <c r="V173" i="6"/>
  <c r="Q173" i="6"/>
  <c r="L173" i="6"/>
  <c r="G173" i="6"/>
  <c r="BT171" i="6"/>
  <c r="BT170" i="6"/>
  <c r="AK169" i="6"/>
  <c r="AK168" i="6" s="1"/>
  <c r="AF169" i="6"/>
  <c r="AA169" i="6"/>
  <c r="V169" i="6"/>
  <c r="V168" i="6" s="1"/>
  <c r="L169" i="6"/>
  <c r="L168" i="6" s="1"/>
  <c r="BO168" i="6"/>
  <c r="BJ168" i="6"/>
  <c r="BE168" i="6"/>
  <c r="AZ168" i="6"/>
  <c r="AU168" i="6"/>
  <c r="AP168" i="6"/>
  <c r="AA168" i="6"/>
  <c r="Q168" i="6"/>
  <c r="G168" i="6"/>
  <c r="BT166" i="6"/>
  <c r="BT165" i="6"/>
  <c r="AK164" i="6"/>
  <c r="AF164" i="6"/>
  <c r="AF163" i="6" s="1"/>
  <c r="AA164" i="6"/>
  <c r="V164" i="6"/>
  <c r="Q164" i="6"/>
  <c r="L164" i="6"/>
  <c r="L163" i="6" s="1"/>
  <c r="BO163" i="6"/>
  <c r="BJ163" i="6"/>
  <c r="BE163" i="6"/>
  <c r="AZ163" i="6"/>
  <c r="AU163" i="6"/>
  <c r="AP163" i="6"/>
  <c r="V163" i="6"/>
  <c r="G163" i="6"/>
  <c r="BT161" i="6"/>
  <c r="BT160" i="6"/>
  <c r="AK159" i="6"/>
  <c r="AF159" i="6"/>
  <c r="AA159" i="6"/>
  <c r="V159" i="6"/>
  <c r="V158" i="6" s="1"/>
  <c r="Q159" i="6"/>
  <c r="L159" i="6"/>
  <c r="BO158" i="6"/>
  <c r="BJ158" i="6"/>
  <c r="BE158" i="6"/>
  <c r="AZ158" i="6"/>
  <c r="AU158" i="6"/>
  <c r="AP158" i="6"/>
  <c r="AF158" i="6"/>
  <c r="L158" i="6"/>
  <c r="G158" i="6"/>
  <c r="BT156" i="6"/>
  <c r="BT155" i="6"/>
  <c r="Q154" i="6"/>
  <c r="L154" i="6"/>
  <c r="L153" i="6" s="1"/>
  <c r="BO153" i="6"/>
  <c r="BJ153" i="6"/>
  <c r="BE153" i="6"/>
  <c r="AZ153" i="6"/>
  <c r="AU153" i="6"/>
  <c r="AP153" i="6"/>
  <c r="AK153" i="6"/>
  <c r="AF153" i="6"/>
  <c r="AA153" i="6"/>
  <c r="V153" i="6"/>
  <c r="G153" i="6"/>
  <c r="BT151" i="6"/>
  <c r="BT150" i="6"/>
  <c r="BT149" i="6"/>
  <c r="BO148" i="6"/>
  <c r="BJ148" i="6"/>
  <c r="BE148" i="6"/>
  <c r="AZ148" i="6"/>
  <c r="AU148" i="6"/>
  <c r="AP148" i="6"/>
  <c r="AK148" i="6"/>
  <c r="AF148" i="6"/>
  <c r="AA148" i="6"/>
  <c r="V148" i="6"/>
  <c r="Q148" i="6"/>
  <c r="L148" i="6"/>
  <c r="G148" i="6"/>
  <c r="BT146" i="6"/>
  <c r="BT145" i="6"/>
  <c r="BT144" i="6"/>
  <c r="BO143" i="6"/>
  <c r="BJ143" i="6"/>
  <c r="BE143" i="6"/>
  <c r="AZ143" i="6"/>
  <c r="AU143" i="6"/>
  <c r="AP143" i="6"/>
  <c r="AK143" i="6"/>
  <c r="AF143" i="6"/>
  <c r="AA143" i="6"/>
  <c r="V143" i="6"/>
  <c r="Q143" i="6"/>
  <c r="L143" i="6"/>
  <c r="G143" i="6"/>
  <c r="BT141" i="6"/>
  <c r="BT140" i="6"/>
  <c r="BT139" i="6"/>
  <c r="BT138" i="6"/>
  <c r="L138" i="6"/>
  <c r="BO137" i="6"/>
  <c r="BJ137" i="6"/>
  <c r="BE137" i="6"/>
  <c r="AZ137" i="6"/>
  <c r="AU137" i="6"/>
  <c r="AP137" i="6"/>
  <c r="AK137" i="6"/>
  <c r="AF137" i="6"/>
  <c r="AA137" i="6"/>
  <c r="V137" i="6"/>
  <c r="Q137" i="6"/>
  <c r="L137" i="6"/>
  <c r="G137" i="6"/>
  <c r="BT135" i="6"/>
  <c r="BT134" i="6"/>
  <c r="BT133" i="6"/>
  <c r="BT132" i="6"/>
  <c r="BO131" i="6"/>
  <c r="BJ131" i="6"/>
  <c r="BE131" i="6"/>
  <c r="AZ131" i="6"/>
  <c r="AU131" i="6"/>
  <c r="AP131" i="6"/>
  <c r="AK131" i="6"/>
  <c r="AF131" i="6"/>
  <c r="AA131" i="6"/>
  <c r="V131" i="6"/>
  <c r="Q131" i="6"/>
  <c r="L131" i="6"/>
  <c r="G131" i="6"/>
  <c r="BT129" i="6"/>
  <c r="BT128" i="6"/>
  <c r="BT127" i="6"/>
  <c r="BT126" i="6"/>
  <c r="BO125" i="6"/>
  <c r="BJ125" i="6"/>
  <c r="BE125" i="6"/>
  <c r="AZ125" i="6"/>
  <c r="AU125" i="6"/>
  <c r="AP125" i="6"/>
  <c r="AK125" i="6"/>
  <c r="AF125" i="6"/>
  <c r="AA125" i="6"/>
  <c r="V125" i="6"/>
  <c r="Q125" i="6"/>
  <c r="L125" i="6"/>
  <c r="G125" i="6"/>
  <c r="BT123" i="6"/>
  <c r="BT122" i="6"/>
  <c r="AK121" i="6"/>
  <c r="BT121" i="6" s="1"/>
  <c r="BT120" i="6" s="1"/>
  <c r="BO120" i="6"/>
  <c r="BJ120" i="6"/>
  <c r="BE120" i="6"/>
  <c r="AZ120" i="6"/>
  <c r="AU120" i="6"/>
  <c r="AP120" i="6"/>
  <c r="AK120" i="6"/>
  <c r="AF120" i="6"/>
  <c r="AA120" i="6"/>
  <c r="V120" i="6"/>
  <c r="Q120" i="6"/>
  <c r="L120" i="6"/>
  <c r="G120" i="6"/>
  <c r="BT118" i="6"/>
  <c r="BT117" i="6"/>
  <c r="BT116" i="6"/>
  <c r="BO115" i="6"/>
  <c r="BJ115" i="6"/>
  <c r="BE115" i="6"/>
  <c r="AZ115" i="6"/>
  <c r="AU115" i="6"/>
  <c r="AP115" i="6"/>
  <c r="AK115" i="6"/>
  <c r="AF115" i="6"/>
  <c r="AA115" i="6"/>
  <c r="V115" i="6"/>
  <c r="Q115" i="6"/>
  <c r="L115" i="6"/>
  <c r="G115" i="6"/>
  <c r="BT113" i="6"/>
  <c r="BT112" i="6"/>
  <c r="BT111" i="6"/>
  <c r="BO110" i="6"/>
  <c r="BJ110" i="6"/>
  <c r="BE110" i="6"/>
  <c r="AZ110" i="6"/>
  <c r="AU110" i="6"/>
  <c r="AP110" i="6"/>
  <c r="AK110" i="6"/>
  <c r="AF110" i="6"/>
  <c r="AA110" i="6"/>
  <c r="V110" i="6"/>
  <c r="Q110" i="6"/>
  <c r="L110" i="6"/>
  <c r="G110" i="6"/>
  <c r="BT108" i="6"/>
  <c r="BT107" i="6"/>
  <c r="BT106" i="6"/>
  <c r="BO105" i="6"/>
  <c r="BJ105" i="6"/>
  <c r="BE105" i="6"/>
  <c r="AZ105" i="6"/>
  <c r="AU105" i="6"/>
  <c r="AP105" i="6"/>
  <c r="AK105" i="6"/>
  <c r="AF105" i="6"/>
  <c r="AA105" i="6"/>
  <c r="V105" i="6"/>
  <c r="Q105" i="6"/>
  <c r="L105" i="6"/>
  <c r="G105" i="6"/>
  <c r="BT103" i="6"/>
  <c r="BT102" i="6"/>
  <c r="BT101" i="6"/>
  <c r="BT100" i="6" s="1"/>
  <c r="BO100" i="6"/>
  <c r="BJ100" i="6"/>
  <c r="BE100" i="6"/>
  <c r="AZ100" i="6"/>
  <c r="AU100" i="6"/>
  <c r="AP100" i="6"/>
  <c r="AK100" i="6"/>
  <c r="AF100" i="6"/>
  <c r="AA100" i="6"/>
  <c r="V100" i="6"/>
  <c r="Q100" i="6"/>
  <c r="L100" i="6"/>
  <c r="G100" i="6"/>
  <c r="BT98" i="6"/>
  <c r="BT97" i="6"/>
  <c r="BT96" i="6"/>
  <c r="BO95" i="6"/>
  <c r="BJ95" i="6"/>
  <c r="BE95" i="6"/>
  <c r="AZ95" i="6"/>
  <c r="AU95" i="6"/>
  <c r="AP95" i="6"/>
  <c r="AK95" i="6"/>
  <c r="AF95" i="6"/>
  <c r="AA95" i="6"/>
  <c r="V95" i="6"/>
  <c r="Q95" i="6"/>
  <c r="L95" i="6"/>
  <c r="G95" i="6"/>
  <c r="BT93" i="6"/>
  <c r="BT92" i="6"/>
  <c r="BT91" i="6"/>
  <c r="BO90" i="6"/>
  <c r="BJ90" i="6"/>
  <c r="BE90" i="6"/>
  <c r="AZ90" i="6"/>
  <c r="AU90" i="6"/>
  <c r="AP90" i="6"/>
  <c r="AK90" i="6"/>
  <c r="AF90" i="6"/>
  <c r="AA90" i="6"/>
  <c r="V90" i="6"/>
  <c r="Q90" i="6"/>
  <c r="L90" i="6"/>
  <c r="G90" i="6"/>
  <c r="BT88" i="6"/>
  <c r="BT87" i="6"/>
  <c r="BT86" i="6"/>
  <c r="BT85" i="6"/>
  <c r="BO84" i="6"/>
  <c r="BJ84" i="6"/>
  <c r="BE84" i="6"/>
  <c r="AZ84" i="6"/>
  <c r="AU84" i="6"/>
  <c r="AP84" i="6"/>
  <c r="AK84" i="6"/>
  <c r="AF84" i="6"/>
  <c r="AA84" i="6"/>
  <c r="V84" i="6"/>
  <c r="Q84" i="6"/>
  <c r="L84" i="6"/>
  <c r="G84" i="6"/>
  <c r="BT82" i="6"/>
  <c r="BT81" i="6"/>
  <c r="BT80" i="6"/>
  <c r="BO79" i="6"/>
  <c r="BJ79" i="6"/>
  <c r="BE79" i="6"/>
  <c r="AZ79" i="6"/>
  <c r="AU79" i="6"/>
  <c r="AP79" i="6"/>
  <c r="AK79" i="6"/>
  <c r="AF79" i="6"/>
  <c r="AA79" i="6"/>
  <c r="V79" i="6"/>
  <c r="Q79" i="6"/>
  <c r="L79" i="6"/>
  <c r="G79" i="6"/>
  <c r="BT77" i="6"/>
  <c r="BT76" i="6"/>
  <c r="BT75" i="6"/>
  <c r="AK74" i="6"/>
  <c r="AF74" i="6"/>
  <c r="AA74" i="6"/>
  <c r="V74" i="6"/>
  <c r="BT74" i="6" s="1"/>
  <c r="BO73" i="6"/>
  <c r="BJ73" i="6"/>
  <c r="BE73" i="6"/>
  <c r="AZ73" i="6"/>
  <c r="AU73" i="6"/>
  <c r="AP73" i="6"/>
  <c r="AK73" i="6"/>
  <c r="AA73" i="6"/>
  <c r="Q73" i="6"/>
  <c r="L73" i="6"/>
  <c r="G73" i="6"/>
  <c r="BT71" i="6"/>
  <c r="BT70" i="6"/>
  <c r="BT69" i="6"/>
  <c r="BT68" i="6"/>
  <c r="BO67" i="6"/>
  <c r="BJ67" i="6"/>
  <c r="BE67" i="6"/>
  <c r="AZ67" i="6"/>
  <c r="AU67" i="6"/>
  <c r="AP67" i="6"/>
  <c r="AK67" i="6"/>
  <c r="AF67" i="6"/>
  <c r="AA67" i="6"/>
  <c r="V67" i="6"/>
  <c r="Q67" i="6"/>
  <c r="L67" i="6"/>
  <c r="G67" i="6"/>
  <c r="BT65" i="6"/>
  <c r="BT64" i="6"/>
  <c r="AK63" i="6"/>
  <c r="AF63" i="6"/>
  <c r="AF62" i="6" s="1"/>
  <c r="AA63" i="6"/>
  <c r="V63" i="6"/>
  <c r="Q63" i="6"/>
  <c r="L63" i="6"/>
  <c r="L62" i="6" s="1"/>
  <c r="BO62" i="6"/>
  <c r="BJ62" i="6"/>
  <c r="BE62" i="6"/>
  <c r="AZ62" i="6"/>
  <c r="AU62" i="6"/>
  <c r="AP62" i="6"/>
  <c r="V62" i="6"/>
  <c r="G62" i="6"/>
  <c r="BT60" i="6"/>
  <c r="BT59" i="6"/>
  <c r="AK58" i="6"/>
  <c r="AA58" i="6"/>
  <c r="AA57" i="6" s="1"/>
  <c r="V58" i="6"/>
  <c r="V57" i="6" s="1"/>
  <c r="Q58" i="6"/>
  <c r="L58" i="6"/>
  <c r="BO57" i="6"/>
  <c r="BJ57" i="6"/>
  <c r="BE57" i="6"/>
  <c r="AZ57" i="6"/>
  <c r="AU57" i="6"/>
  <c r="AP57" i="6"/>
  <c r="AK57" i="6"/>
  <c r="AF57" i="6"/>
  <c r="L57" i="6"/>
  <c r="G57" i="6"/>
  <c r="BT55" i="6"/>
  <c r="BT54" i="6"/>
  <c r="BT53" i="6"/>
  <c r="AK52" i="6"/>
  <c r="AF52" i="6"/>
  <c r="AA52" i="6"/>
  <c r="V52" i="6"/>
  <c r="V51" i="6" s="1"/>
  <c r="Q52" i="6"/>
  <c r="L52" i="6"/>
  <c r="BO51" i="6"/>
  <c r="BJ51" i="6"/>
  <c r="BE51" i="6"/>
  <c r="AZ51" i="6"/>
  <c r="AU51" i="6"/>
  <c r="AP51" i="6"/>
  <c r="AF51" i="6"/>
  <c r="L51" i="6"/>
  <c r="G51" i="6"/>
  <c r="BT49" i="6"/>
  <c r="BT48" i="6"/>
  <c r="BT47" i="6"/>
  <c r="AF46" i="6"/>
  <c r="AF45" i="6" s="1"/>
  <c r="V46" i="6"/>
  <c r="Q46" i="6"/>
  <c r="L46" i="6"/>
  <c r="BO45" i="6"/>
  <c r="BJ45" i="6"/>
  <c r="BE45" i="6"/>
  <c r="AZ45" i="6"/>
  <c r="AU45" i="6"/>
  <c r="AP45" i="6"/>
  <c r="AK45" i="6"/>
  <c r="AA45" i="6"/>
  <c r="V45" i="6"/>
  <c r="L45" i="6"/>
  <c r="G45" i="6"/>
  <c r="BT43" i="6"/>
  <c r="BT42" i="6"/>
  <c r="BT41" i="6"/>
  <c r="AK40" i="6"/>
  <c r="AF40" i="6"/>
  <c r="AA40" i="6"/>
  <c r="AA39" i="6" s="1"/>
  <c r="V40" i="6"/>
  <c r="Q40" i="6"/>
  <c r="L40" i="6"/>
  <c r="BO39" i="6"/>
  <c r="BJ39" i="6"/>
  <c r="BE39" i="6"/>
  <c r="AZ39" i="6"/>
  <c r="AU39" i="6"/>
  <c r="AP39" i="6"/>
  <c r="AK39" i="6"/>
  <c r="Q39" i="6"/>
  <c r="G39" i="6"/>
  <c r="BT37" i="6"/>
  <c r="BT36" i="6"/>
  <c r="BT35" i="6"/>
  <c r="AK34" i="6"/>
  <c r="AF34" i="6"/>
  <c r="AA34" i="6"/>
  <c r="AA33" i="6" s="1"/>
  <c r="V34" i="6"/>
  <c r="Q34" i="6"/>
  <c r="L34" i="6"/>
  <c r="BO33" i="6"/>
  <c r="BJ33" i="6"/>
  <c r="BE33" i="6"/>
  <c r="AZ33" i="6"/>
  <c r="AU33" i="6"/>
  <c r="AP33" i="6"/>
  <c r="AK33" i="6"/>
  <c r="Q33" i="6"/>
  <c r="G33" i="6"/>
  <c r="BT31" i="6"/>
  <c r="BT30" i="6"/>
  <c r="BT29" i="6"/>
  <c r="AK28" i="6"/>
  <c r="AF28" i="6"/>
  <c r="AA28" i="6"/>
  <c r="V28" i="6"/>
  <c r="Q28" i="6"/>
  <c r="Q27" i="6" s="1"/>
  <c r="L28" i="6"/>
  <c r="BO27" i="6"/>
  <c r="BJ27" i="6"/>
  <c r="BE27" i="6"/>
  <c r="AZ27" i="6"/>
  <c r="AU27" i="6"/>
  <c r="AP27" i="6"/>
  <c r="AK27" i="6"/>
  <c r="AA27" i="6"/>
  <c r="G27" i="6"/>
  <c r="BT25" i="6"/>
  <c r="BO24" i="6"/>
  <c r="BJ24" i="6"/>
  <c r="BE24" i="6"/>
  <c r="AZ24" i="6"/>
  <c r="AU24" i="6"/>
  <c r="AP24" i="6"/>
  <c r="AK24" i="6"/>
  <c r="AF24" i="6"/>
  <c r="AA24" i="6"/>
  <c r="V24" i="6"/>
  <c r="Q24" i="6"/>
  <c r="L24" i="6"/>
  <c r="G24" i="6"/>
  <c r="BO22" i="6"/>
  <c r="BJ22" i="6"/>
  <c r="BE22" i="6"/>
  <c r="AZ22" i="6"/>
  <c r="AU22" i="6"/>
  <c r="AP22" i="6"/>
  <c r="AK22" i="6"/>
  <c r="AF22" i="6"/>
  <c r="AA22" i="6"/>
  <c r="V22" i="6"/>
  <c r="Q22" i="6"/>
  <c r="L22" i="6"/>
  <c r="BO21" i="6"/>
  <c r="BJ21" i="6"/>
  <c r="BE21" i="6"/>
  <c r="AZ21" i="6"/>
  <c r="AU21" i="6"/>
  <c r="AP21" i="6"/>
  <c r="AK21" i="6"/>
  <c r="AF21" i="6"/>
  <c r="AA21" i="6"/>
  <c r="V21" i="6"/>
  <c r="Q21" i="6"/>
  <c r="L21" i="6"/>
  <c r="BO20" i="6"/>
  <c r="BJ20" i="6"/>
  <c r="BE20" i="6"/>
  <c r="AZ20" i="6"/>
  <c r="AU20" i="6"/>
  <c r="AP20" i="6"/>
  <c r="AK20" i="6"/>
  <c r="AF20" i="6"/>
  <c r="AA20" i="6"/>
  <c r="V20" i="6"/>
  <c r="Q20" i="6"/>
  <c r="L20" i="6"/>
  <c r="AP19" i="6"/>
  <c r="G18" i="6"/>
  <c r="G13" i="6" s="1"/>
  <c r="AU16" i="6"/>
  <c r="V16" i="6"/>
  <c r="BE15" i="6"/>
  <c r="AZ15" i="6"/>
  <c r="G9" i="6"/>
  <c r="G189" i="6" s="1"/>
  <c r="G8" i="6"/>
  <c r="G188" i="6" s="1"/>
  <c r="M1" i="6"/>
  <c r="BW145" i="5"/>
  <c r="BW143" i="5"/>
  <c r="BW142" i="5"/>
  <c r="BW141" i="5"/>
  <c r="BW140" i="5"/>
  <c r="BW138" i="5"/>
  <c r="BW137" i="5"/>
  <c r="BW134" i="5"/>
  <c r="BW133" i="5"/>
  <c r="BW131" i="5"/>
  <c r="BW130" i="5"/>
  <c r="BW129" i="5" s="1"/>
  <c r="BW127" i="5"/>
  <c r="BW126" i="5"/>
  <c r="BW124" i="5"/>
  <c r="BW123" i="5"/>
  <c r="BW120" i="5"/>
  <c r="BW119" i="5"/>
  <c r="BW116" i="5"/>
  <c r="BW115"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BT111" i="5"/>
  <c r="BS111" i="5"/>
  <c r="BR111" i="5"/>
  <c r="BQ111" i="5"/>
  <c r="BO111" i="5"/>
  <c r="BN111" i="5"/>
  <c r="BM111" i="5"/>
  <c r="BL111" i="5"/>
  <c r="BJ111" i="5"/>
  <c r="BI111" i="5"/>
  <c r="BH111" i="5"/>
  <c r="BG111" i="5"/>
  <c r="BE111" i="5"/>
  <c r="BD111" i="5"/>
  <c r="BC111" i="5"/>
  <c r="BB111" i="5"/>
  <c r="AZ111" i="5"/>
  <c r="AY111" i="5"/>
  <c r="AX111" i="5"/>
  <c r="AW111" i="5"/>
  <c r="AU111" i="5"/>
  <c r="AT111" i="5"/>
  <c r="AS111" i="5"/>
  <c r="AR111" i="5"/>
  <c r="AP111" i="5"/>
  <c r="AO111" i="5"/>
  <c r="AN111" i="5"/>
  <c r="AM111" i="5"/>
  <c r="AK111" i="5"/>
  <c r="AJ111" i="5"/>
  <c r="AI111" i="5"/>
  <c r="AH111" i="5"/>
  <c r="AF111" i="5"/>
  <c r="AE111" i="5"/>
  <c r="AD111" i="5"/>
  <c r="AC111" i="5"/>
  <c r="AA111" i="5"/>
  <c r="Z111" i="5"/>
  <c r="Y111" i="5"/>
  <c r="X111" i="5"/>
  <c r="V111" i="5"/>
  <c r="U111" i="5"/>
  <c r="T111" i="5"/>
  <c r="S111" i="5"/>
  <c r="Q111" i="5"/>
  <c r="P111" i="5"/>
  <c r="O111" i="5"/>
  <c r="N111" i="5"/>
  <c r="BT110" i="5"/>
  <c r="BS110" i="5"/>
  <c r="BR110" i="5"/>
  <c r="BQ110" i="5"/>
  <c r="BO110" i="5"/>
  <c r="BN110" i="5"/>
  <c r="BM110" i="5"/>
  <c r="BL110" i="5"/>
  <c r="BJ110" i="5"/>
  <c r="BI110" i="5"/>
  <c r="BH110" i="5"/>
  <c r="BG110" i="5"/>
  <c r="BE110" i="5"/>
  <c r="BD110" i="5"/>
  <c r="BC110" i="5"/>
  <c r="BB110" i="5"/>
  <c r="AZ110" i="5"/>
  <c r="AY110" i="5"/>
  <c r="AX110" i="5"/>
  <c r="AW110" i="5"/>
  <c r="AU110" i="5"/>
  <c r="AT110" i="5"/>
  <c r="AS110" i="5"/>
  <c r="AR110" i="5"/>
  <c r="AP110" i="5"/>
  <c r="AO110" i="5"/>
  <c r="AN110" i="5"/>
  <c r="AM110" i="5"/>
  <c r="AK110" i="5"/>
  <c r="AJ110" i="5"/>
  <c r="AI110" i="5"/>
  <c r="AH110" i="5"/>
  <c r="AF110" i="5"/>
  <c r="AE110" i="5"/>
  <c r="AD110" i="5"/>
  <c r="AC110" i="5"/>
  <c r="AA110" i="5"/>
  <c r="Z110" i="5"/>
  <c r="Y110" i="5"/>
  <c r="X110" i="5"/>
  <c r="V110" i="5"/>
  <c r="U110" i="5"/>
  <c r="T110" i="5"/>
  <c r="S110" i="5"/>
  <c r="Q110" i="5"/>
  <c r="P110" i="5"/>
  <c r="O110" i="5"/>
  <c r="N110" i="5"/>
  <c r="BW109" i="5"/>
  <c r="BW108" i="5" s="1"/>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BT108" i="5"/>
  <c r="BS108" i="5"/>
  <c r="BR108" i="5"/>
  <c r="BQ108" i="5"/>
  <c r="BO108" i="5"/>
  <c r="BN108" i="5"/>
  <c r="BM108" i="5"/>
  <c r="BL108" i="5"/>
  <c r="BJ108" i="5"/>
  <c r="BI108" i="5"/>
  <c r="BH108" i="5"/>
  <c r="BG108" i="5"/>
  <c r="BE108" i="5"/>
  <c r="BD108" i="5"/>
  <c r="BC108" i="5"/>
  <c r="BB108" i="5"/>
  <c r="AZ108" i="5"/>
  <c r="AY108" i="5"/>
  <c r="AX108" i="5"/>
  <c r="AW108" i="5"/>
  <c r="AU108" i="5"/>
  <c r="AT108" i="5"/>
  <c r="AS108" i="5"/>
  <c r="AR108" i="5"/>
  <c r="AP108" i="5"/>
  <c r="AO108" i="5"/>
  <c r="AN108" i="5"/>
  <c r="AM108" i="5"/>
  <c r="AK108" i="5"/>
  <c r="AJ108" i="5"/>
  <c r="AI108" i="5"/>
  <c r="AH108" i="5"/>
  <c r="AF108" i="5"/>
  <c r="AE108" i="5"/>
  <c r="AD108" i="5"/>
  <c r="AC108" i="5"/>
  <c r="AA108" i="5"/>
  <c r="Z108" i="5"/>
  <c r="Y108" i="5"/>
  <c r="X108" i="5"/>
  <c r="V108" i="5"/>
  <c r="U108" i="5"/>
  <c r="T108" i="5"/>
  <c r="S108" i="5"/>
  <c r="Q108" i="5"/>
  <c r="P108" i="5"/>
  <c r="O108" i="5"/>
  <c r="N108" i="5"/>
  <c r="BT107" i="5"/>
  <c r="BS107" i="5"/>
  <c r="BR107" i="5"/>
  <c r="BQ107" i="5"/>
  <c r="BO107" i="5"/>
  <c r="BN107" i="5"/>
  <c r="BM107" i="5"/>
  <c r="BL107" i="5"/>
  <c r="BJ107" i="5"/>
  <c r="BI107" i="5"/>
  <c r="BH107" i="5"/>
  <c r="BG107" i="5"/>
  <c r="BE107" i="5"/>
  <c r="BD107" i="5"/>
  <c r="BC107" i="5"/>
  <c r="BB107" i="5"/>
  <c r="AZ107" i="5"/>
  <c r="AY107" i="5"/>
  <c r="AX107" i="5"/>
  <c r="AW107" i="5"/>
  <c r="AU107" i="5"/>
  <c r="AT107" i="5"/>
  <c r="AS107" i="5"/>
  <c r="AR107" i="5"/>
  <c r="AP107" i="5"/>
  <c r="AO107" i="5"/>
  <c r="AN107" i="5"/>
  <c r="AM107" i="5"/>
  <c r="AK107" i="5"/>
  <c r="AJ107" i="5"/>
  <c r="AI107" i="5"/>
  <c r="AH107" i="5"/>
  <c r="AF107" i="5"/>
  <c r="AE107" i="5"/>
  <c r="AD107" i="5"/>
  <c r="AC107" i="5"/>
  <c r="AA107" i="5"/>
  <c r="Z107" i="5"/>
  <c r="Y107" i="5"/>
  <c r="X107" i="5"/>
  <c r="V107" i="5"/>
  <c r="U107" i="5"/>
  <c r="T107" i="5"/>
  <c r="S107" i="5"/>
  <c r="Q107" i="5"/>
  <c r="P107" i="5"/>
  <c r="O107" i="5"/>
  <c r="N107" i="5"/>
  <c r="BW106" i="5"/>
  <c r="BT106" i="5"/>
  <c r="BS106" i="5"/>
  <c r="BR106" i="5"/>
  <c r="BQ106" i="5"/>
  <c r="BO106" i="5"/>
  <c r="BN106" i="5"/>
  <c r="BM106" i="5"/>
  <c r="BL106" i="5"/>
  <c r="BJ106" i="5"/>
  <c r="BI106" i="5"/>
  <c r="BH106" i="5"/>
  <c r="BG106" i="5"/>
  <c r="BE106" i="5"/>
  <c r="BD106" i="5"/>
  <c r="BC106" i="5"/>
  <c r="BB106" i="5"/>
  <c r="AZ106" i="5"/>
  <c r="AY106" i="5"/>
  <c r="AX106" i="5"/>
  <c r="AW106" i="5"/>
  <c r="AU106" i="5"/>
  <c r="AT106" i="5"/>
  <c r="AS106" i="5"/>
  <c r="AR106" i="5"/>
  <c r="AP106" i="5"/>
  <c r="AO106" i="5"/>
  <c r="AN106" i="5"/>
  <c r="AM106" i="5"/>
  <c r="AK106" i="5"/>
  <c r="AJ106" i="5"/>
  <c r="AI106" i="5"/>
  <c r="AH106" i="5"/>
  <c r="AF106" i="5"/>
  <c r="AE106" i="5"/>
  <c r="AD106" i="5"/>
  <c r="AC106" i="5"/>
  <c r="AA106" i="5"/>
  <c r="Z106" i="5"/>
  <c r="Y106" i="5"/>
  <c r="X106" i="5"/>
  <c r="V106" i="5"/>
  <c r="U106" i="5"/>
  <c r="T106" i="5"/>
  <c r="S106" i="5"/>
  <c r="Q106" i="5"/>
  <c r="P106" i="5"/>
  <c r="O106" i="5"/>
  <c r="N106" i="5"/>
  <c r="BW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BT104" i="5"/>
  <c r="BS104" i="5"/>
  <c r="BR104" i="5"/>
  <c r="BQ104" i="5"/>
  <c r="BO104" i="5"/>
  <c r="BN104" i="5"/>
  <c r="BM104" i="5"/>
  <c r="BL104" i="5"/>
  <c r="BJ104" i="5"/>
  <c r="BI104" i="5"/>
  <c r="BH104" i="5"/>
  <c r="BG104" i="5"/>
  <c r="BE104" i="5"/>
  <c r="BD104" i="5"/>
  <c r="BC104" i="5"/>
  <c r="BB104" i="5"/>
  <c r="AZ104" i="5"/>
  <c r="AY104" i="5"/>
  <c r="AX104" i="5"/>
  <c r="AW104" i="5"/>
  <c r="AU104" i="5"/>
  <c r="AT104" i="5"/>
  <c r="AS104" i="5"/>
  <c r="AR104" i="5"/>
  <c r="AP104" i="5"/>
  <c r="AO104" i="5"/>
  <c r="AN104" i="5"/>
  <c r="AM104" i="5"/>
  <c r="AK104" i="5"/>
  <c r="AJ104" i="5"/>
  <c r="AI104" i="5"/>
  <c r="AH104" i="5"/>
  <c r="AF104" i="5"/>
  <c r="AE104" i="5"/>
  <c r="AD104" i="5"/>
  <c r="AC104" i="5"/>
  <c r="AA104" i="5"/>
  <c r="Z104" i="5"/>
  <c r="Y104" i="5"/>
  <c r="X104" i="5"/>
  <c r="V104" i="5"/>
  <c r="U104" i="5"/>
  <c r="T104" i="5"/>
  <c r="S104" i="5"/>
  <c r="Q104" i="5"/>
  <c r="P104" i="5"/>
  <c r="O104" i="5"/>
  <c r="N104" i="5"/>
  <c r="BT103" i="5"/>
  <c r="BS103" i="5"/>
  <c r="BR103" i="5"/>
  <c r="BQ103" i="5"/>
  <c r="BO103" i="5"/>
  <c r="BN103" i="5"/>
  <c r="BM103" i="5"/>
  <c r="BL103" i="5"/>
  <c r="BJ103" i="5"/>
  <c r="BI103" i="5"/>
  <c r="BH103" i="5"/>
  <c r="BG103" i="5"/>
  <c r="BE103" i="5"/>
  <c r="BD103" i="5"/>
  <c r="BC103" i="5"/>
  <c r="BB103" i="5"/>
  <c r="AZ103" i="5"/>
  <c r="AY103" i="5"/>
  <c r="AX103" i="5"/>
  <c r="AW103" i="5"/>
  <c r="AU103" i="5"/>
  <c r="AT103" i="5"/>
  <c r="AS103" i="5"/>
  <c r="AR103" i="5"/>
  <c r="AP103" i="5"/>
  <c r="AO103" i="5"/>
  <c r="AN103" i="5"/>
  <c r="AM103" i="5"/>
  <c r="AK103" i="5"/>
  <c r="AJ103" i="5"/>
  <c r="AI103" i="5"/>
  <c r="AH103" i="5"/>
  <c r="AF103" i="5"/>
  <c r="AE103" i="5"/>
  <c r="AD103" i="5"/>
  <c r="AC103" i="5"/>
  <c r="AA103" i="5"/>
  <c r="Z103" i="5"/>
  <c r="Y103" i="5"/>
  <c r="X103" i="5"/>
  <c r="V103" i="5"/>
  <c r="U103" i="5"/>
  <c r="T103" i="5"/>
  <c r="S103" i="5"/>
  <c r="Q103" i="5"/>
  <c r="P103" i="5"/>
  <c r="O103" i="5"/>
  <c r="N103" i="5"/>
  <c r="BW102" i="5"/>
  <c r="BT102" i="5"/>
  <c r="BS102" i="5"/>
  <c r="BR102" i="5"/>
  <c r="BQ102" i="5"/>
  <c r="BO102" i="5"/>
  <c r="BN102" i="5"/>
  <c r="BM102" i="5"/>
  <c r="BL102" i="5"/>
  <c r="BJ102" i="5"/>
  <c r="BI102" i="5"/>
  <c r="BH102" i="5"/>
  <c r="BG102" i="5"/>
  <c r="BE102" i="5"/>
  <c r="BD102" i="5"/>
  <c r="BC102" i="5"/>
  <c r="BB102" i="5"/>
  <c r="AZ102" i="5"/>
  <c r="AY102" i="5"/>
  <c r="AX102" i="5"/>
  <c r="AW102" i="5"/>
  <c r="AU102" i="5"/>
  <c r="AT102" i="5"/>
  <c r="AS102" i="5"/>
  <c r="AR102" i="5"/>
  <c r="AP102" i="5"/>
  <c r="AO102" i="5"/>
  <c r="AN102" i="5"/>
  <c r="AM102" i="5"/>
  <c r="AL102" i="5"/>
  <c r="AK102" i="5"/>
  <c r="AJ102" i="5"/>
  <c r="AI102" i="5"/>
  <c r="AH102" i="5"/>
  <c r="AF102" i="5"/>
  <c r="AE102" i="5"/>
  <c r="AD102" i="5"/>
  <c r="AC102" i="5"/>
  <c r="AA102" i="5"/>
  <c r="Z102" i="5"/>
  <c r="Y102" i="5"/>
  <c r="X102" i="5"/>
  <c r="V102" i="5"/>
  <c r="U102" i="5"/>
  <c r="T102" i="5"/>
  <c r="S102" i="5"/>
  <c r="Q102" i="5"/>
  <c r="P102" i="5"/>
  <c r="O102" i="5"/>
  <c r="N102" i="5"/>
  <c r="BW101" i="5"/>
  <c r="BT101" i="5"/>
  <c r="BS101" i="5"/>
  <c r="BR101" i="5"/>
  <c r="BQ101" i="5"/>
  <c r="BO101" i="5"/>
  <c r="BN101" i="5"/>
  <c r="BM101" i="5"/>
  <c r="BL101" i="5"/>
  <c r="BJ101" i="5"/>
  <c r="BI101" i="5"/>
  <c r="BH101" i="5"/>
  <c r="BG101" i="5"/>
  <c r="BE101" i="5"/>
  <c r="BD101" i="5"/>
  <c r="BC101" i="5"/>
  <c r="BB101" i="5"/>
  <c r="AZ101" i="5"/>
  <c r="AY101" i="5"/>
  <c r="AX101" i="5"/>
  <c r="AW101" i="5"/>
  <c r="AU101" i="5"/>
  <c r="AT101" i="5"/>
  <c r="AS101" i="5"/>
  <c r="AR101" i="5"/>
  <c r="AP101" i="5"/>
  <c r="AO101" i="5"/>
  <c r="AN101" i="5"/>
  <c r="AM101" i="5"/>
  <c r="AK101" i="5"/>
  <c r="AJ101" i="5"/>
  <c r="AI101" i="5"/>
  <c r="AH101" i="5"/>
  <c r="AF101" i="5"/>
  <c r="AE101" i="5"/>
  <c r="AD101" i="5"/>
  <c r="AC101" i="5"/>
  <c r="AA101" i="5"/>
  <c r="Z101" i="5"/>
  <c r="Y101" i="5"/>
  <c r="X101" i="5"/>
  <c r="V101" i="5"/>
  <c r="U101" i="5"/>
  <c r="T101" i="5"/>
  <c r="S101" i="5"/>
  <c r="Q101" i="5"/>
  <c r="P101" i="5"/>
  <c r="O101" i="5"/>
  <c r="N101" i="5"/>
  <c r="BW100" i="5"/>
  <c r="BW99" i="5" s="1"/>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BT99" i="5"/>
  <c r="BS99" i="5"/>
  <c r="BR99" i="5"/>
  <c r="BQ99" i="5"/>
  <c r="BO99" i="5"/>
  <c r="BN99" i="5"/>
  <c r="BM99" i="5"/>
  <c r="BL99" i="5"/>
  <c r="BJ99" i="5"/>
  <c r="BI99" i="5"/>
  <c r="BH99" i="5"/>
  <c r="BG99" i="5"/>
  <c r="BE99" i="5"/>
  <c r="BD99" i="5"/>
  <c r="BC99" i="5"/>
  <c r="BB99" i="5"/>
  <c r="AZ99" i="5"/>
  <c r="AY99" i="5"/>
  <c r="AX99" i="5"/>
  <c r="AW99" i="5"/>
  <c r="AU99" i="5"/>
  <c r="AT99" i="5"/>
  <c r="AS99" i="5"/>
  <c r="AR99" i="5"/>
  <c r="AP99" i="5"/>
  <c r="AO99" i="5"/>
  <c r="AN99" i="5"/>
  <c r="AM99" i="5"/>
  <c r="AK99" i="5"/>
  <c r="AJ99" i="5"/>
  <c r="AI99" i="5"/>
  <c r="AH99" i="5"/>
  <c r="AF99" i="5"/>
  <c r="AE99" i="5"/>
  <c r="AD99" i="5"/>
  <c r="AC99" i="5"/>
  <c r="AA99" i="5"/>
  <c r="Z99" i="5"/>
  <c r="Y99" i="5"/>
  <c r="X99" i="5"/>
  <c r="V99" i="5"/>
  <c r="U99" i="5"/>
  <c r="T99" i="5"/>
  <c r="S99" i="5"/>
  <c r="Q99" i="5"/>
  <c r="P99" i="5"/>
  <c r="O99" i="5"/>
  <c r="N99" i="5"/>
  <c r="BT98" i="5"/>
  <c r="BS98" i="5"/>
  <c r="BR98" i="5"/>
  <c r="BQ98" i="5"/>
  <c r="BO98" i="5"/>
  <c r="BN98" i="5"/>
  <c r="BM98" i="5"/>
  <c r="BL98" i="5"/>
  <c r="BJ98" i="5"/>
  <c r="BI98" i="5"/>
  <c r="BH98" i="5"/>
  <c r="BG98" i="5"/>
  <c r="BE98" i="5"/>
  <c r="BD98" i="5"/>
  <c r="BC98" i="5"/>
  <c r="BB98" i="5"/>
  <c r="AZ98" i="5"/>
  <c r="AY98" i="5"/>
  <c r="AX98" i="5"/>
  <c r="AW98" i="5"/>
  <c r="AU98" i="5"/>
  <c r="AT98" i="5"/>
  <c r="AS98" i="5"/>
  <c r="AR98" i="5"/>
  <c r="AP98" i="5"/>
  <c r="AO98" i="5"/>
  <c r="AN98" i="5"/>
  <c r="AM98" i="5"/>
  <c r="AK98" i="5"/>
  <c r="AJ98" i="5"/>
  <c r="AI98" i="5"/>
  <c r="AH98" i="5"/>
  <c r="AF98" i="5"/>
  <c r="AE98" i="5"/>
  <c r="AD98" i="5"/>
  <c r="AC98" i="5"/>
  <c r="AA98" i="5"/>
  <c r="Z98" i="5"/>
  <c r="Y98" i="5"/>
  <c r="X98" i="5"/>
  <c r="V98" i="5"/>
  <c r="U98" i="5"/>
  <c r="T98" i="5"/>
  <c r="S98" i="5"/>
  <c r="Q98" i="5"/>
  <c r="P98" i="5"/>
  <c r="O98" i="5"/>
  <c r="N98" i="5"/>
  <c r="BW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BW96" i="5"/>
  <c r="BT96" i="5"/>
  <c r="BS96" i="5"/>
  <c r="BR96" i="5"/>
  <c r="BQ96" i="5"/>
  <c r="BO96" i="5"/>
  <c r="BN96" i="5"/>
  <c r="BM96" i="5"/>
  <c r="BL96" i="5"/>
  <c r="BJ96" i="5"/>
  <c r="BI96" i="5"/>
  <c r="BH96" i="5"/>
  <c r="BG96" i="5"/>
  <c r="BE96" i="5"/>
  <c r="BD96" i="5"/>
  <c r="BC96" i="5"/>
  <c r="BB96" i="5"/>
  <c r="AZ96" i="5"/>
  <c r="AY96" i="5"/>
  <c r="AX96" i="5"/>
  <c r="AW96" i="5"/>
  <c r="AU96" i="5"/>
  <c r="AT96" i="5"/>
  <c r="AS96" i="5"/>
  <c r="AR96" i="5"/>
  <c r="AP96" i="5"/>
  <c r="AO96" i="5"/>
  <c r="AN96" i="5"/>
  <c r="AM96" i="5"/>
  <c r="AK96" i="5"/>
  <c r="AJ96" i="5"/>
  <c r="AI96" i="5"/>
  <c r="AH96" i="5"/>
  <c r="AF96" i="5"/>
  <c r="AE96" i="5"/>
  <c r="AD96" i="5"/>
  <c r="AC96" i="5"/>
  <c r="AA96" i="5"/>
  <c r="Z96" i="5"/>
  <c r="Y96" i="5"/>
  <c r="X96" i="5"/>
  <c r="V96" i="5"/>
  <c r="U96" i="5"/>
  <c r="T96" i="5"/>
  <c r="S96" i="5"/>
  <c r="Q96" i="5"/>
  <c r="P96" i="5"/>
  <c r="O96" i="5"/>
  <c r="N96" i="5"/>
  <c r="BT95" i="5"/>
  <c r="BS95" i="5"/>
  <c r="BR95" i="5"/>
  <c r="BQ95" i="5"/>
  <c r="BO95" i="5"/>
  <c r="BN95" i="5"/>
  <c r="BM95" i="5"/>
  <c r="BL95" i="5"/>
  <c r="BJ95" i="5"/>
  <c r="BI95" i="5"/>
  <c r="BH95" i="5"/>
  <c r="BG95" i="5"/>
  <c r="BE95" i="5"/>
  <c r="BD95" i="5"/>
  <c r="BC95" i="5"/>
  <c r="BB95" i="5"/>
  <c r="AZ95" i="5"/>
  <c r="AY95" i="5"/>
  <c r="AX95" i="5"/>
  <c r="AW95" i="5"/>
  <c r="AU95" i="5"/>
  <c r="AT95" i="5"/>
  <c r="AS95" i="5"/>
  <c r="AR95" i="5"/>
  <c r="AP95" i="5"/>
  <c r="AO95" i="5"/>
  <c r="AN95" i="5"/>
  <c r="AM95" i="5"/>
  <c r="AK95" i="5"/>
  <c r="AJ95" i="5"/>
  <c r="AI95" i="5"/>
  <c r="AH95" i="5"/>
  <c r="AF95" i="5"/>
  <c r="AE95" i="5"/>
  <c r="AD95" i="5"/>
  <c r="AC95" i="5"/>
  <c r="AA95" i="5"/>
  <c r="Z95" i="5"/>
  <c r="Y95" i="5"/>
  <c r="X95" i="5"/>
  <c r="V95" i="5"/>
  <c r="U95" i="5"/>
  <c r="T95" i="5"/>
  <c r="S95" i="5"/>
  <c r="Q95" i="5"/>
  <c r="P95" i="5"/>
  <c r="O95" i="5"/>
  <c r="N95" i="5"/>
  <c r="BT94" i="5"/>
  <c r="BS94" i="5"/>
  <c r="BR94" i="5"/>
  <c r="BQ94" i="5"/>
  <c r="BO94" i="5"/>
  <c r="BN94" i="5"/>
  <c r="BM94" i="5"/>
  <c r="BL94" i="5"/>
  <c r="BJ94" i="5"/>
  <c r="BI94" i="5"/>
  <c r="BH94" i="5"/>
  <c r="BG94" i="5"/>
  <c r="BE94" i="5"/>
  <c r="BD94" i="5"/>
  <c r="BC94" i="5"/>
  <c r="BB94" i="5"/>
  <c r="AZ94" i="5"/>
  <c r="AY94" i="5"/>
  <c r="AX94" i="5"/>
  <c r="AW94" i="5"/>
  <c r="AU94" i="5"/>
  <c r="AT94" i="5"/>
  <c r="AS94" i="5"/>
  <c r="AR94" i="5"/>
  <c r="AP94" i="5"/>
  <c r="AO94" i="5"/>
  <c r="AN94" i="5"/>
  <c r="AM94" i="5"/>
  <c r="AK94" i="5"/>
  <c r="AJ94" i="5"/>
  <c r="AI94" i="5"/>
  <c r="AH94" i="5"/>
  <c r="AF94" i="5"/>
  <c r="AE94" i="5"/>
  <c r="AD94" i="5"/>
  <c r="AC94" i="5"/>
  <c r="AA94" i="5"/>
  <c r="Z94" i="5"/>
  <c r="Y94" i="5"/>
  <c r="X94" i="5"/>
  <c r="V94" i="5"/>
  <c r="U94" i="5"/>
  <c r="T94" i="5"/>
  <c r="S94" i="5"/>
  <c r="Q94" i="5"/>
  <c r="P94" i="5"/>
  <c r="O94" i="5"/>
  <c r="N94" i="5"/>
  <c r="BT93" i="5"/>
  <c r="BS93" i="5"/>
  <c r="BR93" i="5"/>
  <c r="BQ93" i="5"/>
  <c r="BO93" i="5"/>
  <c r="BN93" i="5"/>
  <c r="BM93" i="5"/>
  <c r="BL93" i="5"/>
  <c r="BJ93" i="5"/>
  <c r="BI93" i="5"/>
  <c r="BH93" i="5"/>
  <c r="BG93" i="5"/>
  <c r="BE93" i="5"/>
  <c r="BD93" i="5"/>
  <c r="BC93" i="5"/>
  <c r="BB93" i="5"/>
  <c r="AZ93" i="5"/>
  <c r="AY93" i="5"/>
  <c r="AX93" i="5"/>
  <c r="AW93" i="5"/>
  <c r="AU93" i="5"/>
  <c r="AT93" i="5"/>
  <c r="AS93" i="5"/>
  <c r="AR93" i="5"/>
  <c r="AP93" i="5"/>
  <c r="AO93" i="5"/>
  <c r="AN93" i="5"/>
  <c r="AM93" i="5"/>
  <c r="AK93" i="5"/>
  <c r="AJ93" i="5"/>
  <c r="AI93" i="5"/>
  <c r="AH93" i="5"/>
  <c r="AF93" i="5"/>
  <c r="AE93" i="5"/>
  <c r="AD93" i="5"/>
  <c r="AC93" i="5"/>
  <c r="AA93" i="5"/>
  <c r="Z93" i="5"/>
  <c r="Y93" i="5"/>
  <c r="X93" i="5"/>
  <c r="V93" i="5"/>
  <c r="U93" i="5"/>
  <c r="T93" i="5"/>
  <c r="S93" i="5"/>
  <c r="Q93" i="5"/>
  <c r="P93" i="5"/>
  <c r="O93" i="5"/>
  <c r="N93"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BT84" i="5"/>
  <c r="BS84" i="5"/>
  <c r="BR84" i="5"/>
  <c r="BQ84" i="5"/>
  <c r="BO84" i="5"/>
  <c r="BN84" i="5"/>
  <c r="BM84" i="5"/>
  <c r="BL84" i="5"/>
  <c r="BJ84" i="5"/>
  <c r="BI84" i="5"/>
  <c r="BH84" i="5"/>
  <c r="BG84" i="5"/>
  <c r="BE84" i="5"/>
  <c r="BD84" i="5"/>
  <c r="BC84" i="5"/>
  <c r="BB84" i="5"/>
  <c r="AZ84" i="5"/>
  <c r="AY84" i="5"/>
  <c r="AX84" i="5"/>
  <c r="AW84" i="5"/>
  <c r="AU84" i="5"/>
  <c r="AT84" i="5"/>
  <c r="AS84" i="5"/>
  <c r="AR84" i="5"/>
  <c r="AP84" i="5"/>
  <c r="AO84" i="5"/>
  <c r="AN84" i="5"/>
  <c r="AM84" i="5"/>
  <c r="AK84" i="5"/>
  <c r="AJ84" i="5"/>
  <c r="AI84" i="5"/>
  <c r="AH84" i="5"/>
  <c r="AF84" i="5"/>
  <c r="AE84" i="5"/>
  <c r="AD84" i="5"/>
  <c r="AC84" i="5"/>
  <c r="AA84" i="5"/>
  <c r="Z84" i="5"/>
  <c r="Y84" i="5"/>
  <c r="X84" i="5"/>
  <c r="V84" i="5"/>
  <c r="U84" i="5"/>
  <c r="T84" i="5"/>
  <c r="S84" i="5"/>
  <c r="Q84" i="5"/>
  <c r="P84" i="5"/>
  <c r="O84" i="5"/>
  <c r="N84" i="5"/>
  <c r="BT83" i="5"/>
  <c r="BS83" i="5"/>
  <c r="BR83" i="5"/>
  <c r="BQ83" i="5"/>
  <c r="BO83" i="5"/>
  <c r="BN83" i="5"/>
  <c r="BM83" i="5"/>
  <c r="BL83" i="5"/>
  <c r="BJ83" i="5"/>
  <c r="BI83" i="5"/>
  <c r="BH83" i="5"/>
  <c r="BG83" i="5"/>
  <c r="BE83" i="5"/>
  <c r="BD83" i="5"/>
  <c r="BC83" i="5"/>
  <c r="BB83" i="5"/>
  <c r="AZ83" i="5"/>
  <c r="AY83" i="5"/>
  <c r="AX83" i="5"/>
  <c r="AW83" i="5"/>
  <c r="AU83" i="5"/>
  <c r="AT83" i="5"/>
  <c r="AS83" i="5"/>
  <c r="AR83" i="5"/>
  <c r="AP83" i="5"/>
  <c r="AO83" i="5"/>
  <c r="AN83" i="5"/>
  <c r="AM83" i="5"/>
  <c r="AK83" i="5"/>
  <c r="AJ83" i="5"/>
  <c r="AI83" i="5"/>
  <c r="AH83" i="5"/>
  <c r="AF83" i="5"/>
  <c r="AE83" i="5"/>
  <c r="AD83" i="5"/>
  <c r="AC83" i="5"/>
  <c r="AA83" i="5"/>
  <c r="Z83" i="5"/>
  <c r="Y83" i="5"/>
  <c r="X83" i="5"/>
  <c r="V83" i="5"/>
  <c r="U83" i="5"/>
  <c r="T83" i="5"/>
  <c r="S83" i="5"/>
  <c r="Q83" i="5"/>
  <c r="P83" i="5"/>
  <c r="O83" i="5"/>
  <c r="N83" i="5"/>
  <c r="CB78" i="5"/>
  <c r="CB76" i="5"/>
  <c r="BP75" i="5"/>
  <c r="BK75" i="5"/>
  <c r="BF75" i="5"/>
  <c r="BA75" i="5"/>
  <c r="AV75" i="5"/>
  <c r="AQ75" i="5"/>
  <c r="H75" i="5"/>
  <c r="CB74" i="5"/>
  <c r="BU73" i="5"/>
  <c r="BP73" i="5"/>
  <c r="BK73" i="5"/>
  <c r="BF73" i="5"/>
  <c r="BA73" i="5"/>
  <c r="AV73" i="5"/>
  <c r="AQ73" i="5"/>
  <c r="AL73" i="5"/>
  <c r="AG73" i="5"/>
  <c r="AB73" i="5"/>
  <c r="W73" i="5"/>
  <c r="R73" i="5"/>
  <c r="M73" i="5"/>
  <c r="H73" i="5"/>
  <c r="BU72" i="5"/>
  <c r="BP72" i="5"/>
  <c r="BK72" i="5"/>
  <c r="BF72" i="5"/>
  <c r="BA72" i="5"/>
  <c r="AV72" i="5"/>
  <c r="AQ72" i="5"/>
  <c r="AL72" i="5"/>
  <c r="AG72" i="5"/>
  <c r="AB72" i="5"/>
  <c r="W72" i="5"/>
  <c r="R72" i="5"/>
  <c r="M72" i="5"/>
  <c r="H72" i="5"/>
  <c r="BU71" i="5"/>
  <c r="BP71" i="5"/>
  <c r="BK71" i="5"/>
  <c r="BF71" i="5"/>
  <c r="BA71" i="5"/>
  <c r="AV71" i="5"/>
  <c r="AQ71" i="5"/>
  <c r="AL71" i="5"/>
  <c r="AG71" i="5"/>
  <c r="AB71" i="5"/>
  <c r="W71" i="5"/>
  <c r="R71" i="5"/>
  <c r="M71" i="5"/>
  <c r="H71" i="5"/>
  <c r="CB70" i="5"/>
  <c r="BU70" i="5"/>
  <c r="BP70" i="5"/>
  <c r="BK70" i="5"/>
  <c r="BF70" i="5"/>
  <c r="BA70" i="5"/>
  <c r="AV70" i="5"/>
  <c r="AQ70" i="5"/>
  <c r="AQ67" i="5" s="1"/>
  <c r="AL70" i="5"/>
  <c r="AG70" i="5"/>
  <c r="AB70" i="5"/>
  <c r="W70" i="5"/>
  <c r="R70" i="5"/>
  <c r="M70" i="5"/>
  <c r="H70" i="5"/>
  <c r="CB69" i="5"/>
  <c r="BU68" i="5"/>
  <c r="BP68" i="5"/>
  <c r="BK68" i="5"/>
  <c r="BF68" i="5"/>
  <c r="BA68" i="5"/>
  <c r="AV68" i="5"/>
  <c r="AQ68" i="5"/>
  <c r="AL68" i="5"/>
  <c r="AG68" i="5"/>
  <c r="AB68" i="5"/>
  <c r="W68" i="5"/>
  <c r="R68" i="5"/>
  <c r="M68" i="5"/>
  <c r="H68" i="5"/>
  <c r="CB66" i="5"/>
  <c r="CB65" i="5"/>
  <c r="CB64" i="5"/>
  <c r="BU64" i="5"/>
  <c r="BP64" i="5"/>
  <c r="BK64" i="5"/>
  <c r="BF64" i="5"/>
  <c r="BA64" i="5"/>
  <c r="AV64" i="5"/>
  <c r="AQ64" i="5"/>
  <c r="AL64" i="5"/>
  <c r="AG64" i="5"/>
  <c r="AB64" i="5"/>
  <c r="W64" i="5"/>
  <c r="R64" i="5"/>
  <c r="M64" i="5"/>
  <c r="CB63" i="5"/>
  <c r="BU63" i="5"/>
  <c r="BP63" i="5"/>
  <c r="BK63" i="5"/>
  <c r="BF63" i="5"/>
  <c r="BA63" i="5"/>
  <c r="AV63" i="5"/>
  <c r="AQ63" i="5"/>
  <c r="AL63" i="5"/>
  <c r="AG63" i="5"/>
  <c r="AB63" i="5"/>
  <c r="W63" i="5"/>
  <c r="R63" i="5"/>
  <c r="M63" i="5"/>
  <c r="CB62" i="5"/>
  <c r="CB61" i="5"/>
  <c r="BU61" i="5"/>
  <c r="BP61" i="5"/>
  <c r="BK61" i="5"/>
  <c r="BF61" i="5"/>
  <c r="BA61" i="5"/>
  <c r="AV61" i="5"/>
  <c r="AQ61" i="5"/>
  <c r="AL61" i="5"/>
  <c r="AG61" i="5"/>
  <c r="AB61" i="5"/>
  <c r="W61" i="5"/>
  <c r="R61" i="5"/>
  <c r="M61" i="5"/>
  <c r="CB60" i="5"/>
  <c r="BU60" i="5"/>
  <c r="BP60" i="5"/>
  <c r="BK60" i="5"/>
  <c r="BF60" i="5"/>
  <c r="BA60" i="5"/>
  <c r="AV60" i="5"/>
  <c r="AQ60" i="5"/>
  <c r="AL60" i="5"/>
  <c r="AG60" i="5"/>
  <c r="AB60" i="5"/>
  <c r="W60" i="5"/>
  <c r="R60" i="5"/>
  <c r="R59" i="5" s="1"/>
  <c r="M60" i="5"/>
  <c r="CB58" i="5"/>
  <c r="CB57" i="5"/>
  <c r="BU57" i="5"/>
  <c r="BP57" i="5"/>
  <c r="BK57" i="5"/>
  <c r="BF57" i="5"/>
  <c r="BA57" i="5"/>
  <c r="AV57" i="5"/>
  <c r="AQ57" i="5"/>
  <c r="AL57" i="5"/>
  <c r="AG57" i="5"/>
  <c r="AB57" i="5"/>
  <c r="W57" i="5"/>
  <c r="R57" i="5"/>
  <c r="M57" i="5"/>
  <c r="H57" i="5"/>
  <c r="BU56" i="5"/>
  <c r="BP56" i="5"/>
  <c r="BK56" i="5"/>
  <c r="BF56" i="5"/>
  <c r="BA56" i="5"/>
  <c r="AV56" i="5"/>
  <c r="AQ56" i="5"/>
  <c r="AL56" i="5"/>
  <c r="AG56" i="5"/>
  <c r="AB56" i="5"/>
  <c r="W56" i="5"/>
  <c r="R56" i="5"/>
  <c r="M56" i="5"/>
  <c r="H56" i="5"/>
  <c r="CB55" i="5"/>
  <c r="CB54" i="5"/>
  <c r="BU54" i="5"/>
  <c r="BP54" i="5"/>
  <c r="BK54" i="5"/>
  <c r="BF54" i="5"/>
  <c r="BA54" i="5"/>
  <c r="AV54" i="5"/>
  <c r="AQ54" i="5"/>
  <c r="AL54" i="5"/>
  <c r="AG54" i="5"/>
  <c r="AB54" i="5"/>
  <c r="W54" i="5"/>
  <c r="R54" i="5"/>
  <c r="M54" i="5"/>
  <c r="H54" i="5"/>
  <c r="BU53" i="5"/>
  <c r="BU52" i="5" s="1"/>
  <c r="BP53" i="5"/>
  <c r="BK53" i="5"/>
  <c r="BK52" i="5" s="1"/>
  <c r="BF53" i="5"/>
  <c r="BF52" i="5" s="1"/>
  <c r="BA53" i="5"/>
  <c r="BA52" i="5" s="1"/>
  <c r="AV53" i="5"/>
  <c r="AQ53" i="5"/>
  <c r="AQ52" i="5" s="1"/>
  <c r="AL53" i="5"/>
  <c r="AL52" i="5" s="1"/>
  <c r="AG53" i="5"/>
  <c r="AG52" i="5" s="1"/>
  <c r="AB53" i="5"/>
  <c r="W53" i="5"/>
  <c r="W52" i="5" s="1"/>
  <c r="R53" i="5"/>
  <c r="R52" i="5" s="1"/>
  <c r="M53" i="5"/>
  <c r="M52" i="5" s="1"/>
  <c r="H53" i="5"/>
  <c r="CB51" i="5"/>
  <c r="CB50" i="5"/>
  <c r="BU50" i="5"/>
  <c r="BP50" i="5"/>
  <c r="BK50" i="5"/>
  <c r="BF50" i="5"/>
  <c r="BA50" i="5"/>
  <c r="AV50" i="5"/>
  <c r="AQ50" i="5"/>
  <c r="AL50" i="5"/>
  <c r="AG50" i="5"/>
  <c r="AB50" i="5"/>
  <c r="W50" i="5"/>
  <c r="R50" i="5"/>
  <c r="M50" i="5"/>
  <c r="H50" i="5"/>
  <c r="BU49" i="5"/>
  <c r="BP49" i="5"/>
  <c r="BK49" i="5"/>
  <c r="BF49" i="5"/>
  <c r="BA49" i="5"/>
  <c r="AV49" i="5"/>
  <c r="AQ49" i="5"/>
  <c r="AL49" i="5"/>
  <c r="AG49" i="5"/>
  <c r="AB49" i="5"/>
  <c r="W49" i="5"/>
  <c r="R49" i="5"/>
  <c r="M49" i="5"/>
  <c r="H49" i="5"/>
  <c r="CB48" i="5"/>
  <c r="BU47" i="5"/>
  <c r="BP47" i="5"/>
  <c r="BK47" i="5"/>
  <c r="BF47" i="5"/>
  <c r="BA47" i="5"/>
  <c r="AV47" i="5"/>
  <c r="AQ47" i="5"/>
  <c r="AL47" i="5"/>
  <c r="AG47" i="5"/>
  <c r="AB47" i="5"/>
  <c r="W47" i="5"/>
  <c r="R47" i="5"/>
  <c r="M47" i="5"/>
  <c r="H47" i="5"/>
  <c r="CB46" i="5"/>
  <c r="BU46" i="5"/>
  <c r="BP46" i="5"/>
  <c r="BK46" i="5"/>
  <c r="BF46" i="5"/>
  <c r="BA46" i="5"/>
  <c r="AV46" i="5"/>
  <c r="AQ46" i="5"/>
  <c r="AL46" i="5"/>
  <c r="AG46" i="5"/>
  <c r="AB46" i="5"/>
  <c r="W46" i="5"/>
  <c r="R46" i="5"/>
  <c r="M46" i="5"/>
  <c r="H46" i="5"/>
  <c r="BA45" i="5"/>
  <c r="CB43" i="5"/>
  <c r="CB42" i="5"/>
  <c r="CB41" i="5"/>
  <c r="CB39" i="5"/>
  <c r="BU40" i="5"/>
  <c r="BP40" i="5"/>
  <c r="BK40" i="5"/>
  <c r="BK39" i="5" s="1"/>
  <c r="BF40" i="5"/>
  <c r="BF39" i="5" s="1"/>
  <c r="BA40" i="5"/>
  <c r="AV40" i="5"/>
  <c r="AQ40" i="5"/>
  <c r="AQ39" i="5" s="1"/>
  <c r="AQ110" i="5" s="1"/>
  <c r="AL40" i="5"/>
  <c r="AG40" i="5"/>
  <c r="AB40" i="5"/>
  <c r="W40" i="5"/>
  <c r="W39" i="5" s="1"/>
  <c r="R40" i="5"/>
  <c r="R39" i="5" s="1"/>
  <c r="M40" i="5"/>
  <c r="BP39" i="5"/>
  <c r="BP110" i="5" s="1"/>
  <c r="AV39" i="5"/>
  <c r="AV110" i="5" s="1"/>
  <c r="AL39" i="5"/>
  <c r="AB39" i="5"/>
  <c r="AB110" i="5" s="1"/>
  <c r="CB38" i="5"/>
  <c r="CB37" i="5"/>
  <c r="BU37" i="5"/>
  <c r="BP37" i="5"/>
  <c r="BP108" i="5" s="1"/>
  <c r="BK37" i="5"/>
  <c r="BF37" i="5"/>
  <c r="BA37" i="5"/>
  <c r="AV37" i="5"/>
  <c r="AV108" i="5" s="1"/>
  <c r="AQ37" i="5"/>
  <c r="AL37" i="5"/>
  <c r="AG37" i="5"/>
  <c r="AB37" i="5"/>
  <c r="AB108" i="5" s="1"/>
  <c r="W37" i="5"/>
  <c r="R37" i="5"/>
  <c r="M37" i="5"/>
  <c r="H37" i="5"/>
  <c r="BU36" i="5"/>
  <c r="BP36" i="5"/>
  <c r="BP35" i="5" s="1"/>
  <c r="BP106" i="5" s="1"/>
  <c r="BK36" i="5"/>
  <c r="BF36" i="5"/>
  <c r="BA36" i="5"/>
  <c r="AV36" i="5"/>
  <c r="AV35" i="5" s="1"/>
  <c r="AV106" i="5" s="1"/>
  <c r="AQ36" i="5"/>
  <c r="AQ35" i="5" s="1"/>
  <c r="AL36" i="5"/>
  <c r="AG36" i="5"/>
  <c r="AB36" i="5"/>
  <c r="AB35" i="5" s="1"/>
  <c r="AB106" i="5" s="1"/>
  <c r="W36" i="5"/>
  <c r="W35" i="5" s="1"/>
  <c r="R36" i="5"/>
  <c r="M36" i="5"/>
  <c r="M107" i="5" s="1"/>
  <c r="H36" i="5"/>
  <c r="H35" i="5" s="1"/>
  <c r="BK35" i="5"/>
  <c r="CB34" i="5"/>
  <c r="CB33" i="5"/>
  <c r="BU33" i="5"/>
  <c r="BP33" i="5"/>
  <c r="BP104" i="5" s="1"/>
  <c r="BK33" i="5"/>
  <c r="BF33" i="5"/>
  <c r="BA33" i="5"/>
  <c r="AV33" i="5"/>
  <c r="AV104" i="5" s="1"/>
  <c r="AQ33" i="5"/>
  <c r="AL33" i="5"/>
  <c r="AG33" i="5"/>
  <c r="AB33" i="5"/>
  <c r="AB104" i="5" s="1"/>
  <c r="W33" i="5"/>
  <c r="R33" i="5"/>
  <c r="M33" i="5"/>
  <c r="H33" i="5"/>
  <c r="BU32" i="5"/>
  <c r="BP32" i="5"/>
  <c r="BP103" i="5" s="1"/>
  <c r="BK32" i="5"/>
  <c r="BF32" i="5"/>
  <c r="BA32" i="5"/>
  <c r="AV32" i="5"/>
  <c r="AQ32" i="5"/>
  <c r="AL32" i="5"/>
  <c r="AG32" i="5"/>
  <c r="AB32" i="5"/>
  <c r="AB103" i="5" s="1"/>
  <c r="W32" i="5"/>
  <c r="R32" i="5"/>
  <c r="M32" i="5"/>
  <c r="H32" i="5"/>
  <c r="BU31" i="5"/>
  <c r="BU30" i="5" s="1"/>
  <c r="BP31" i="5"/>
  <c r="BP30" i="5" s="1"/>
  <c r="BK31" i="5"/>
  <c r="BF31" i="5"/>
  <c r="BA31" i="5"/>
  <c r="BA30" i="5" s="1"/>
  <c r="AV31" i="5"/>
  <c r="AV30" i="5" s="1"/>
  <c r="AQ31" i="5"/>
  <c r="AL31" i="5"/>
  <c r="AG31" i="5"/>
  <c r="AG30" i="5" s="1"/>
  <c r="AB31" i="5"/>
  <c r="AB30" i="5" s="1"/>
  <c r="W31" i="5"/>
  <c r="R31" i="5"/>
  <c r="M31" i="5"/>
  <c r="M30" i="5" s="1"/>
  <c r="H31" i="5"/>
  <c r="H30" i="5"/>
  <c r="CB29" i="5"/>
  <c r="CB28" i="5"/>
  <c r="BU28" i="5"/>
  <c r="BU99" i="5" s="1"/>
  <c r="BP28" i="5"/>
  <c r="BP99" i="5" s="1"/>
  <c r="BK28" i="5"/>
  <c r="BK99" i="5" s="1"/>
  <c r="BF28" i="5"/>
  <c r="BA28" i="5"/>
  <c r="BA99" i="5" s="1"/>
  <c r="AV28" i="5"/>
  <c r="AQ28" i="5"/>
  <c r="AQ99" i="5" s="1"/>
  <c r="AL28" i="5"/>
  <c r="AG28" i="5"/>
  <c r="AG99" i="5" s="1"/>
  <c r="AB28" i="5"/>
  <c r="W28" i="5"/>
  <c r="W99" i="5" s="1"/>
  <c r="R28" i="5"/>
  <c r="M28" i="5"/>
  <c r="M99" i="5" s="1"/>
  <c r="H28" i="5"/>
  <c r="BU27" i="5"/>
  <c r="BP27" i="5"/>
  <c r="BK27" i="5"/>
  <c r="BF27" i="5"/>
  <c r="BF98" i="5" s="1"/>
  <c r="BA27" i="5"/>
  <c r="BA98" i="5" s="1"/>
  <c r="AV27" i="5"/>
  <c r="AQ27" i="5"/>
  <c r="AL27" i="5"/>
  <c r="AL98" i="5" s="1"/>
  <c r="AG27" i="5"/>
  <c r="AB27" i="5"/>
  <c r="W27" i="5"/>
  <c r="R27" i="5"/>
  <c r="R98" i="5" s="1"/>
  <c r="M27" i="5"/>
  <c r="H27" i="5"/>
  <c r="CB26" i="5"/>
  <c r="BU26" i="5"/>
  <c r="BP26" i="5"/>
  <c r="BK26" i="5"/>
  <c r="BK96" i="5" s="1"/>
  <c r="BF26" i="5"/>
  <c r="BF96" i="5" s="1"/>
  <c r="BA26" i="5"/>
  <c r="AV26" i="5"/>
  <c r="AQ26" i="5"/>
  <c r="AQ96" i="5" s="1"/>
  <c r="AL26" i="5"/>
  <c r="AL96" i="5" s="1"/>
  <c r="AG26" i="5"/>
  <c r="AG24" i="5" s="1"/>
  <c r="AB26" i="5"/>
  <c r="W26" i="5"/>
  <c r="W96" i="5" s="1"/>
  <c r="R26" i="5"/>
  <c r="R96" i="5" s="1"/>
  <c r="M26" i="5"/>
  <c r="H26" i="5"/>
  <c r="CB25" i="5"/>
  <c r="BU25" i="5"/>
  <c r="BU24" i="5" s="1"/>
  <c r="BP25" i="5"/>
  <c r="BK25" i="5"/>
  <c r="BK95" i="5" s="1"/>
  <c r="BF25" i="5"/>
  <c r="BA25" i="5"/>
  <c r="BA24" i="5" s="1"/>
  <c r="AV25" i="5"/>
  <c r="AQ25" i="5"/>
  <c r="AQ95" i="5" s="1"/>
  <c r="AL25" i="5"/>
  <c r="AG25" i="5"/>
  <c r="AB25" i="5"/>
  <c r="W25" i="5"/>
  <c r="W95" i="5" s="1"/>
  <c r="R25" i="5"/>
  <c r="M25" i="5"/>
  <c r="H25" i="5"/>
  <c r="H24" i="5" s="1"/>
  <c r="M24" i="5"/>
  <c r="CB22" i="5"/>
  <c r="CB21" i="5"/>
  <c r="BU21" i="5"/>
  <c r="CB19" i="5"/>
  <c r="BU19" i="5"/>
  <c r="CB18" i="5"/>
  <c r="BU18" i="5"/>
  <c r="CB17" i="5"/>
  <c r="BU17" i="5"/>
  <c r="CB16" i="5"/>
  <c r="BU16" i="5"/>
  <c r="BU14" i="5" s="1"/>
  <c r="CB15" i="5"/>
  <c r="BU15" i="5"/>
  <c r="BP14" i="5"/>
  <c r="BP84" i="5" s="1"/>
  <c r="BK14" i="5"/>
  <c r="BK13" i="5" s="1"/>
  <c r="BF14" i="5"/>
  <c r="BA14" i="5"/>
  <c r="BA84" i="5" s="1"/>
  <c r="AV14" i="5"/>
  <c r="AV84" i="5" s="1"/>
  <c r="AQ14" i="5"/>
  <c r="AQ13" i="5" s="1"/>
  <c r="AL14" i="5"/>
  <c r="AG14" i="5"/>
  <c r="AG84" i="5" s="1"/>
  <c r="AB14" i="5"/>
  <c r="AB84" i="5" s="1"/>
  <c r="W14" i="5"/>
  <c r="R14" i="5"/>
  <c r="M14" i="5"/>
  <c r="M84" i="5" s="1"/>
  <c r="H14" i="5"/>
  <c r="H13" i="5" s="1"/>
  <c r="BF13" i="5"/>
  <c r="AL13" i="5"/>
  <c r="R13" i="5"/>
  <c r="G77" i="4"/>
  <c r="BV76" i="4"/>
  <c r="BQ76" i="4"/>
  <c r="BL76" i="4"/>
  <c r="BG76" i="4"/>
  <c r="BB76" i="4"/>
  <c r="AW76" i="4"/>
  <c r="AR76" i="4"/>
  <c r="AM76" i="4"/>
  <c r="AH76" i="4"/>
  <c r="AC76" i="4"/>
  <c r="BV75" i="4"/>
  <c r="BQ75" i="4"/>
  <c r="BL75" i="4"/>
  <c r="BG75" i="4"/>
  <c r="BB75" i="4"/>
  <c r="AW75" i="4"/>
  <c r="AR75" i="4"/>
  <c r="AM75" i="4"/>
  <c r="AH75" i="4"/>
  <c r="AC75" i="4"/>
  <c r="BV74" i="4"/>
  <c r="BX74" i="4" s="1"/>
  <c r="BQ74" i="4"/>
  <c r="BL74" i="4"/>
  <c r="BG74" i="4"/>
  <c r="BB74" i="4"/>
  <c r="AW74" i="4"/>
  <c r="AR74" i="4"/>
  <c r="AM74" i="4"/>
  <c r="AH74" i="4"/>
  <c r="AC74" i="4"/>
  <c r="BM73" i="4"/>
  <c r="BM77" i="4" s="1"/>
  <c r="AF73" i="4"/>
  <c r="AF77" i="4" s="1"/>
  <c r="BX72" i="4"/>
  <c r="BU71" i="4"/>
  <c r="BT71" i="4"/>
  <c r="BS71" i="4"/>
  <c r="BR71" i="4"/>
  <c r="N71" i="4"/>
  <c r="BX70" i="4"/>
  <c r="BX69" i="4"/>
  <c r="BP68" i="4"/>
  <c r="BO68" i="4"/>
  <c r="BN68" i="4"/>
  <c r="BM68" i="4"/>
  <c r="AP68" i="4"/>
  <c r="Y68" i="4"/>
  <c r="H68" i="4"/>
  <c r="G68" i="4"/>
  <c r="F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U65" i="4"/>
  <c r="BT65" i="4"/>
  <c r="BS65" i="4"/>
  <c r="BR65" i="4"/>
  <c r="BV65" i="4" s="1"/>
  <c r="BX65" i="4" s="1"/>
  <c r="BQ65" i="4"/>
  <c r="BL65" i="4"/>
  <c r="BG65" i="4"/>
  <c r="BB65" i="4"/>
  <c r="AW65" i="4"/>
  <c r="AR65" i="4"/>
  <c r="AM65" i="4"/>
  <c r="AH65" i="4"/>
  <c r="AC65" i="4"/>
  <c r="X65" i="4"/>
  <c r="S65" i="4"/>
  <c r="N65" i="4"/>
  <c r="I65" i="4"/>
  <c r="BU64" i="4"/>
  <c r="BT64" i="4"/>
  <c r="BS64" i="4"/>
  <c r="BR64" i="4"/>
  <c r="BQ64" i="4"/>
  <c r="BL64" i="4"/>
  <c r="BG64" i="4"/>
  <c r="BB64" i="4"/>
  <c r="AW64" i="4"/>
  <c r="AR64" i="4"/>
  <c r="AM64" i="4"/>
  <c r="AH64" i="4"/>
  <c r="AC64" i="4"/>
  <c r="X64" i="4"/>
  <c r="S64" i="4"/>
  <c r="N64" i="4"/>
  <c r="I64" i="4"/>
  <c r="BU63" i="4"/>
  <c r="BT63" i="4"/>
  <c r="BS63" i="4"/>
  <c r="BR63" i="4"/>
  <c r="BQ63" i="4"/>
  <c r="BL63" i="4"/>
  <c r="BG63" i="4"/>
  <c r="BB63" i="4"/>
  <c r="AW63" i="4"/>
  <c r="AR63" i="4"/>
  <c r="AM63" i="4"/>
  <c r="AH63" i="4"/>
  <c r="AC63" i="4"/>
  <c r="X63" i="4"/>
  <c r="S63" i="4"/>
  <c r="N63" i="4"/>
  <c r="I63" i="4"/>
  <c r="BU62" i="4"/>
  <c r="BT62" i="4"/>
  <c r="BS62" i="4"/>
  <c r="BR62" i="4"/>
  <c r="BQ62" i="4"/>
  <c r="BL62" i="4"/>
  <c r="BG62" i="4"/>
  <c r="BB62" i="4"/>
  <c r="AW62" i="4"/>
  <c r="AR62" i="4"/>
  <c r="AM62" i="4"/>
  <c r="AH62" i="4"/>
  <c r="N62" i="4"/>
  <c r="I62" i="4"/>
  <c r="BU61" i="4"/>
  <c r="BT61" i="4"/>
  <c r="BS61" i="4"/>
  <c r="BR61" i="4"/>
  <c r="BQ61" i="4"/>
  <c r="BL61" i="4"/>
  <c r="BG61" i="4"/>
  <c r="BB61" i="4"/>
  <c r="AW61" i="4"/>
  <c r="AR61" i="4"/>
  <c r="AM61" i="4"/>
  <c r="AH61" i="4"/>
  <c r="AC61" i="4"/>
  <c r="X61" i="4"/>
  <c r="S61" i="4"/>
  <c r="N61" i="4"/>
  <c r="I61" i="4"/>
  <c r="BU60" i="4"/>
  <c r="BT60" i="4"/>
  <c r="BS60" i="4"/>
  <c r="BR60" i="4"/>
  <c r="BQ60" i="4"/>
  <c r="BL60" i="4"/>
  <c r="BG60" i="4"/>
  <c r="BB60" i="4"/>
  <c r="AW60" i="4"/>
  <c r="AR60" i="4"/>
  <c r="AM60" i="4"/>
  <c r="AH60" i="4"/>
  <c r="AH59" i="4" s="1"/>
  <c r="AC60" i="4"/>
  <c r="X60" i="4"/>
  <c r="S60" i="4"/>
  <c r="N60" i="4"/>
  <c r="I60" i="4"/>
  <c r="BQ59" i="4"/>
  <c r="BL59" i="4"/>
  <c r="BG59" i="4"/>
  <c r="BB59" i="4"/>
  <c r="AW59" i="4"/>
  <c r="AR59" i="4"/>
  <c r="AL59" i="4"/>
  <c r="AL68" i="4" s="1"/>
  <c r="AK59" i="4"/>
  <c r="AK68" i="4" s="1"/>
  <c r="AK73" i="4" s="1"/>
  <c r="AK77" i="4" s="1"/>
  <c r="AJ59" i="4"/>
  <c r="AJ68" i="4" s="1"/>
  <c r="AJ73" i="4" s="1"/>
  <c r="AJ77" i="4" s="1"/>
  <c r="AI59" i="4"/>
  <c r="AI68" i="4" s="1"/>
  <c r="AG59" i="4"/>
  <c r="BU59" i="4" s="1"/>
  <c r="AF59" i="4"/>
  <c r="BT59" i="4" s="1"/>
  <c r="AE59" i="4"/>
  <c r="BS59" i="4" s="1"/>
  <c r="AD59" i="4"/>
  <c r="BR59" i="4" s="1"/>
  <c r="AC59" i="4"/>
  <c r="X59" i="4"/>
  <c r="S59" i="4"/>
  <c r="N59" i="4"/>
  <c r="I59" i="4"/>
  <c r="BU58" i="4"/>
  <c r="BT58" i="4"/>
  <c r="BS58" i="4"/>
  <c r="BR58" i="4"/>
  <c r="BQ58" i="4"/>
  <c r="BL58" i="4"/>
  <c r="BG58" i="4"/>
  <c r="BB58" i="4"/>
  <c r="AW58" i="4"/>
  <c r="AR58" i="4"/>
  <c r="AM58" i="4"/>
  <c r="AH58" i="4"/>
  <c r="AC58" i="4"/>
  <c r="X58" i="4"/>
  <c r="S58" i="4"/>
  <c r="N58" i="4"/>
  <c r="I58" i="4"/>
  <c r="BT57" i="4"/>
  <c r="BS57" i="4"/>
  <c r="BR57" i="4"/>
  <c r="BQ57" i="4"/>
  <c r="BL57" i="4"/>
  <c r="BG57" i="4"/>
  <c r="BB57" i="4"/>
  <c r="AW57" i="4"/>
  <c r="AR57" i="4"/>
  <c r="AM57" i="4"/>
  <c r="AH57" i="4"/>
  <c r="AG57" i="4"/>
  <c r="AB57" i="4"/>
  <c r="AC57" i="4" s="1"/>
  <c r="W57" i="4"/>
  <c r="X57" i="4" s="1"/>
  <c r="R57" i="4"/>
  <c r="S57" i="4" s="1"/>
  <c r="M57" i="4"/>
  <c r="I57" i="4"/>
  <c r="BU56" i="4"/>
  <c r="BT56" i="4"/>
  <c r="BS56" i="4"/>
  <c r="BR56" i="4"/>
  <c r="BV56" i="4" s="1"/>
  <c r="BX56" i="4" s="1"/>
  <c r="BQ56" i="4"/>
  <c r="BL56" i="4"/>
  <c r="BG56" i="4"/>
  <c r="BB56" i="4"/>
  <c r="AW56" i="4"/>
  <c r="AR56" i="4"/>
  <c r="AM56" i="4"/>
  <c r="AH56" i="4"/>
  <c r="AC56" i="4"/>
  <c r="X56" i="4"/>
  <c r="S56" i="4"/>
  <c r="N56" i="4"/>
  <c r="I56" i="4"/>
  <c r="BU55" i="4"/>
  <c r="BT55" i="4"/>
  <c r="BS55" i="4"/>
  <c r="BR55" i="4"/>
  <c r="BQ55" i="4"/>
  <c r="BL55" i="4"/>
  <c r="BG55" i="4"/>
  <c r="BB55" i="4"/>
  <c r="AW55" i="4"/>
  <c r="AR55" i="4"/>
  <c r="AM55" i="4"/>
  <c r="AH55" i="4"/>
  <c r="AC55" i="4"/>
  <c r="X55" i="4"/>
  <c r="S55" i="4"/>
  <c r="N55" i="4"/>
  <c r="I55" i="4"/>
  <c r="BU54" i="4"/>
  <c r="BT54" i="4"/>
  <c r="BS54" i="4"/>
  <c r="BR54" i="4"/>
  <c r="BQ54" i="4"/>
  <c r="BL54" i="4"/>
  <c r="BG54" i="4"/>
  <c r="BB54" i="4"/>
  <c r="AW54" i="4"/>
  <c r="AR54" i="4"/>
  <c r="AM54" i="4"/>
  <c r="AH54" i="4"/>
  <c r="AC54" i="4"/>
  <c r="X54" i="4"/>
  <c r="X52" i="4" s="1"/>
  <c r="S54" i="4"/>
  <c r="N54" i="4"/>
  <c r="I54" i="4"/>
  <c r="BU53" i="4"/>
  <c r="BU52" i="4" s="1"/>
  <c r="BT53" i="4"/>
  <c r="BS53" i="4"/>
  <c r="BR53" i="4"/>
  <c r="BQ53" i="4"/>
  <c r="BQ52" i="4" s="1"/>
  <c r="BL53" i="4"/>
  <c r="BG53" i="4"/>
  <c r="BB53" i="4"/>
  <c r="BB52" i="4" s="1"/>
  <c r="AW53" i="4"/>
  <c r="AR53" i="4"/>
  <c r="AM53" i="4"/>
  <c r="AH53" i="4"/>
  <c r="AC53" i="4"/>
  <c r="AC52" i="4" s="1"/>
  <c r="AC68" i="4" s="1"/>
  <c r="X53" i="4"/>
  <c r="S53" i="4"/>
  <c r="N53" i="4"/>
  <c r="N52" i="4" s="1"/>
  <c r="I53" i="4"/>
  <c r="I52" i="4" s="1"/>
  <c r="I68" i="4" s="1"/>
  <c r="BR52" i="4"/>
  <c r="BK52" i="4"/>
  <c r="BK68" i="4" s="1"/>
  <c r="BJ52" i="4"/>
  <c r="BJ68" i="4" s="1"/>
  <c r="BI52" i="4"/>
  <c r="BI68" i="4" s="1"/>
  <c r="BH52" i="4"/>
  <c r="BH68" i="4" s="1"/>
  <c r="BF52" i="4"/>
  <c r="BF68" i="4" s="1"/>
  <c r="BE52" i="4"/>
  <c r="BE68" i="4" s="1"/>
  <c r="BD52" i="4"/>
  <c r="BD68" i="4" s="1"/>
  <c r="BC52" i="4"/>
  <c r="BC68" i="4" s="1"/>
  <c r="BA52" i="4"/>
  <c r="BA68" i="4" s="1"/>
  <c r="BA73" i="4" s="1"/>
  <c r="BA77" i="4" s="1"/>
  <c r="AZ52" i="4"/>
  <c r="AZ68" i="4" s="1"/>
  <c r="AY52" i="4"/>
  <c r="AY68" i="4" s="1"/>
  <c r="AX52" i="4"/>
  <c r="AX68" i="4" s="1"/>
  <c r="AW52" i="4"/>
  <c r="AW68" i="4" s="1"/>
  <c r="AV52" i="4"/>
  <c r="AV68" i="4" s="1"/>
  <c r="AU52" i="4"/>
  <c r="AU68" i="4" s="1"/>
  <c r="AT52" i="4"/>
  <c r="AT68" i="4" s="1"/>
  <c r="AS52" i="4"/>
  <c r="AS68" i="4" s="1"/>
  <c r="AS73" i="4" s="1"/>
  <c r="AS77" i="4" s="1"/>
  <c r="AQ52" i="4"/>
  <c r="AQ68" i="4" s="1"/>
  <c r="AP52" i="4"/>
  <c r="AO52" i="4"/>
  <c r="AO68" i="4" s="1"/>
  <c r="AN52" i="4"/>
  <c r="AN68" i="4" s="1"/>
  <c r="AH52" i="4"/>
  <c r="AG52" i="4"/>
  <c r="AG68" i="4" s="1"/>
  <c r="AF52" i="4"/>
  <c r="AF68" i="4" s="1"/>
  <c r="AE52" i="4"/>
  <c r="AE68" i="4" s="1"/>
  <c r="AD52" i="4"/>
  <c r="AD68" i="4" s="1"/>
  <c r="AB52" i="4"/>
  <c r="AB68" i="4" s="1"/>
  <c r="AA52" i="4"/>
  <c r="AA68" i="4" s="1"/>
  <c r="Z52" i="4"/>
  <c r="Z68" i="4" s="1"/>
  <c r="W52" i="4"/>
  <c r="V52" i="4"/>
  <c r="V68" i="4" s="1"/>
  <c r="U52" i="4"/>
  <c r="U68" i="4" s="1"/>
  <c r="T52" i="4"/>
  <c r="T68" i="4" s="1"/>
  <c r="R52" i="4"/>
  <c r="R68" i="4" s="1"/>
  <c r="Q52" i="4"/>
  <c r="Q68" i="4" s="1"/>
  <c r="Q73" i="4" s="1"/>
  <c r="Q77" i="4" s="1"/>
  <c r="P52" i="4"/>
  <c r="P68" i="4" s="1"/>
  <c r="O52" i="4"/>
  <c r="O68" i="4" s="1"/>
  <c r="M52" i="4"/>
  <c r="L52" i="4"/>
  <c r="L68" i="4" s="1"/>
  <c r="L73" i="4" s="1"/>
  <c r="L77" i="4" s="1"/>
  <c r="K52" i="4"/>
  <c r="K68" i="4" s="1"/>
  <c r="J52" i="4"/>
  <c r="J68" i="4" s="1"/>
  <c r="E52" i="4"/>
  <c r="E68" i="4" s="1"/>
  <c r="BU51" i="4"/>
  <c r="BT51" i="4"/>
  <c r="BS51" i="4"/>
  <c r="BR51" i="4"/>
  <c r="BQ51" i="4"/>
  <c r="BL51" i="4"/>
  <c r="BG51" i="4"/>
  <c r="BB51" i="4"/>
  <c r="AW51" i="4"/>
  <c r="AR51" i="4"/>
  <c r="AM51" i="4"/>
  <c r="AH51" i="4"/>
  <c r="AC51" i="4"/>
  <c r="X51" i="4"/>
  <c r="S51" i="4"/>
  <c r="N51" i="4"/>
  <c r="I51" i="4"/>
  <c r="BU50" i="4"/>
  <c r="BT50" i="4"/>
  <c r="BS50" i="4"/>
  <c r="BR50" i="4"/>
  <c r="BQ50" i="4"/>
  <c r="BL50" i="4"/>
  <c r="BG50" i="4"/>
  <c r="BB50" i="4"/>
  <c r="AW50" i="4"/>
  <c r="AR50" i="4"/>
  <c r="AM50" i="4"/>
  <c r="AH50" i="4"/>
  <c r="AC50" i="4"/>
  <c r="X50" i="4"/>
  <c r="S50" i="4"/>
  <c r="N50" i="4"/>
  <c r="I50" i="4"/>
  <c r="BP47" i="4"/>
  <c r="BP73" i="4" s="1"/>
  <c r="BP77" i="4" s="1"/>
  <c r="BO47" i="4"/>
  <c r="BO73" i="4" s="1"/>
  <c r="BO77" i="4" s="1"/>
  <c r="BN47" i="4"/>
  <c r="BN73" i="4" s="1"/>
  <c r="BN77" i="4" s="1"/>
  <c r="BM47" i="4"/>
  <c r="BK47" i="4"/>
  <c r="BK73" i="4" s="1"/>
  <c r="BK77" i="4" s="1"/>
  <c r="BJ47" i="4"/>
  <c r="BI47" i="4"/>
  <c r="BH47" i="4"/>
  <c r="BF47" i="4"/>
  <c r="BE47" i="4"/>
  <c r="BD47" i="4"/>
  <c r="BD73" i="4" s="1"/>
  <c r="BD77" i="4" s="1"/>
  <c r="BC47" i="4"/>
  <c r="BA47" i="4"/>
  <c r="AZ47" i="4"/>
  <c r="AY47" i="4"/>
  <c r="AX47" i="4"/>
  <c r="AV47" i="4"/>
  <c r="AV73" i="4" s="1"/>
  <c r="AV77" i="4" s="1"/>
  <c r="AU47" i="4"/>
  <c r="AT47" i="4"/>
  <c r="AS47" i="4"/>
  <c r="AQ47" i="4"/>
  <c r="AQ73" i="4" s="1"/>
  <c r="AQ77" i="4" s="1"/>
  <c r="AP47" i="4"/>
  <c r="AO47" i="4"/>
  <c r="AN47" i="4"/>
  <c r="AN73" i="4" s="1"/>
  <c r="AN77" i="4" s="1"/>
  <c r="AL47" i="4"/>
  <c r="AK47" i="4"/>
  <c r="AJ47" i="4"/>
  <c r="AI47" i="4"/>
  <c r="AI73" i="4" s="1"/>
  <c r="AI77" i="4" s="1"/>
  <c r="AG47" i="4"/>
  <c r="AF47" i="4"/>
  <c r="AE47" i="4"/>
  <c r="AD47" i="4"/>
  <c r="AB47" i="4"/>
  <c r="AA47" i="4"/>
  <c r="Z47" i="4"/>
  <c r="Y47" i="4"/>
  <c r="Y73" i="4" s="1"/>
  <c r="Y77" i="4" s="1"/>
  <c r="W47" i="4"/>
  <c r="V47" i="4"/>
  <c r="U47" i="4"/>
  <c r="T47" i="4"/>
  <c r="R47" i="4"/>
  <c r="Q47" i="4"/>
  <c r="P47" i="4"/>
  <c r="P73" i="4" s="1"/>
  <c r="P77" i="4" s="1"/>
  <c r="O47" i="4"/>
  <c r="M47" i="4"/>
  <c r="L47" i="4"/>
  <c r="K47" i="4"/>
  <c r="J47" i="4"/>
  <c r="H47" i="4"/>
  <c r="H73" i="4" s="1"/>
  <c r="H77" i="4" s="1"/>
  <c r="G47" i="4"/>
  <c r="G73" i="4" s="1"/>
  <c r="F47" i="4"/>
  <c r="E47" i="4"/>
  <c r="BU46" i="4"/>
  <c r="BT46" i="4"/>
  <c r="BS46" i="4"/>
  <c r="BR46" i="4"/>
  <c r="BV46" i="4" s="1"/>
  <c r="BX46" i="4" s="1"/>
  <c r="BQ46" i="4"/>
  <c r="BL46" i="4"/>
  <c r="BG46" i="4"/>
  <c r="BB46" i="4"/>
  <c r="AW46" i="4"/>
  <c r="AR46" i="4"/>
  <c r="AM46" i="4"/>
  <c r="AH46" i="4"/>
  <c r="AC46" i="4"/>
  <c r="X46" i="4"/>
  <c r="S46" i="4"/>
  <c r="N46" i="4"/>
  <c r="I46" i="4"/>
  <c r="BU45" i="4"/>
  <c r="BT45" i="4"/>
  <c r="BS45" i="4"/>
  <c r="BR45" i="4"/>
  <c r="BQ45" i="4"/>
  <c r="BL45" i="4"/>
  <c r="BG45" i="4"/>
  <c r="BB45" i="4"/>
  <c r="AW45" i="4"/>
  <c r="AR45" i="4"/>
  <c r="AM45" i="4"/>
  <c r="AH45" i="4"/>
  <c r="AC45" i="4"/>
  <c r="X45" i="4"/>
  <c r="S45" i="4"/>
  <c r="N45" i="4"/>
  <c r="I45" i="4"/>
  <c r="BU44" i="4"/>
  <c r="BT44" i="4"/>
  <c r="BS44" i="4"/>
  <c r="BR44" i="4"/>
  <c r="BQ44" i="4"/>
  <c r="BL44" i="4"/>
  <c r="BG44" i="4"/>
  <c r="BB44" i="4"/>
  <c r="AW44" i="4"/>
  <c r="AR44" i="4"/>
  <c r="AM44" i="4"/>
  <c r="AH44" i="4"/>
  <c r="AC44" i="4"/>
  <c r="X44" i="4"/>
  <c r="S44" i="4"/>
  <c r="N44" i="4"/>
  <c r="I44" i="4"/>
  <c r="BU43" i="4"/>
  <c r="BT43" i="4"/>
  <c r="BS43" i="4"/>
  <c r="BR43" i="4"/>
  <c r="BQ43" i="4"/>
  <c r="BL43" i="4"/>
  <c r="BG43" i="4"/>
  <c r="BB43" i="4"/>
  <c r="AW43" i="4"/>
  <c r="AR43" i="4"/>
  <c r="AM43" i="4"/>
  <c r="AH43" i="4"/>
  <c r="AC43" i="4"/>
  <c r="X43" i="4"/>
  <c r="S43" i="4"/>
  <c r="N43" i="4"/>
  <c r="I43" i="4"/>
  <c r="BU42" i="4"/>
  <c r="BT42" i="4"/>
  <c r="BS42" i="4"/>
  <c r="BR42" i="4"/>
  <c r="BV42" i="4" s="1"/>
  <c r="BX42" i="4" s="1"/>
  <c r="BQ42" i="4"/>
  <c r="BL42" i="4"/>
  <c r="BG42" i="4"/>
  <c r="BB42" i="4"/>
  <c r="AW42" i="4"/>
  <c r="AR42" i="4"/>
  <c r="AM42" i="4"/>
  <c r="AH42" i="4"/>
  <c r="AC42" i="4"/>
  <c r="X42" i="4"/>
  <c r="S42" i="4"/>
  <c r="N42" i="4"/>
  <c r="I42" i="4"/>
  <c r="BU41" i="4"/>
  <c r="BT41" i="4"/>
  <c r="BS41" i="4"/>
  <c r="BR41" i="4"/>
  <c r="BQ41" i="4"/>
  <c r="BL41" i="4"/>
  <c r="BG41" i="4"/>
  <c r="BB41" i="4"/>
  <c r="AW41" i="4"/>
  <c r="AR41" i="4"/>
  <c r="AM41" i="4"/>
  <c r="AH41" i="4"/>
  <c r="AC41" i="4"/>
  <c r="X41" i="4"/>
  <c r="S41" i="4"/>
  <c r="N41" i="4"/>
  <c r="I41" i="4"/>
  <c r="BU40" i="4"/>
  <c r="BT40" i="4"/>
  <c r="BS40" i="4"/>
  <c r="BR40" i="4"/>
  <c r="BQ40" i="4"/>
  <c r="BL40" i="4"/>
  <c r="BG40" i="4"/>
  <c r="BB40" i="4"/>
  <c r="AW40" i="4"/>
  <c r="AR40" i="4"/>
  <c r="AM40" i="4"/>
  <c r="AH40" i="4"/>
  <c r="AC40" i="4"/>
  <c r="X40" i="4"/>
  <c r="S40" i="4"/>
  <c r="N40" i="4"/>
  <c r="I40" i="4"/>
  <c r="BU39" i="4"/>
  <c r="BT39" i="4"/>
  <c r="BS39" i="4"/>
  <c r="BR39" i="4"/>
  <c r="BQ39" i="4"/>
  <c r="BL39" i="4"/>
  <c r="BG39" i="4"/>
  <c r="BB39" i="4"/>
  <c r="AW39" i="4"/>
  <c r="AR39" i="4"/>
  <c r="AM39" i="4"/>
  <c r="AH39" i="4"/>
  <c r="AC39" i="4"/>
  <c r="X39" i="4"/>
  <c r="S39" i="4"/>
  <c r="N39" i="4"/>
  <c r="I39" i="4"/>
  <c r="BU38" i="4"/>
  <c r="BT38" i="4"/>
  <c r="BS38" i="4"/>
  <c r="BR38" i="4"/>
  <c r="BV38" i="4" s="1"/>
  <c r="BX38" i="4" s="1"/>
  <c r="BQ38" i="4"/>
  <c r="BL38" i="4"/>
  <c r="BG38" i="4"/>
  <c r="BB38" i="4"/>
  <c r="AW38" i="4"/>
  <c r="AR38" i="4"/>
  <c r="AM38" i="4"/>
  <c r="AH38" i="4"/>
  <c r="AC38" i="4"/>
  <c r="X38" i="4"/>
  <c r="S38" i="4"/>
  <c r="N38" i="4"/>
  <c r="I38" i="4"/>
  <c r="BU37" i="4"/>
  <c r="BT37" i="4"/>
  <c r="BS37" i="4"/>
  <c r="BR37" i="4"/>
  <c r="BQ37" i="4"/>
  <c r="BL37" i="4"/>
  <c r="BG37" i="4"/>
  <c r="BB37" i="4"/>
  <c r="AW37" i="4"/>
  <c r="AR37" i="4"/>
  <c r="AM37" i="4"/>
  <c r="AH37" i="4"/>
  <c r="AC37" i="4"/>
  <c r="X37" i="4"/>
  <c r="S37" i="4"/>
  <c r="N37" i="4"/>
  <c r="I37" i="4"/>
  <c r="BU36" i="4"/>
  <c r="BT36" i="4"/>
  <c r="BS36" i="4"/>
  <c r="BR36" i="4"/>
  <c r="BQ36" i="4"/>
  <c r="BL36" i="4"/>
  <c r="BG36" i="4"/>
  <c r="BB36" i="4"/>
  <c r="AW36" i="4"/>
  <c r="AR36" i="4"/>
  <c r="AM36" i="4"/>
  <c r="AH36" i="4"/>
  <c r="AC36" i="4"/>
  <c r="X36" i="4"/>
  <c r="S36" i="4"/>
  <c r="N36" i="4"/>
  <c r="I36" i="4"/>
  <c r="BU35" i="4"/>
  <c r="BT35" i="4"/>
  <c r="BS35" i="4"/>
  <c r="BR35" i="4"/>
  <c r="BQ35" i="4"/>
  <c r="BL35" i="4"/>
  <c r="BG35" i="4"/>
  <c r="BB35" i="4"/>
  <c r="AW35" i="4"/>
  <c r="AR35" i="4"/>
  <c r="AM35" i="4"/>
  <c r="AH35" i="4"/>
  <c r="AC35" i="4"/>
  <c r="X35" i="4"/>
  <c r="S35" i="4"/>
  <c r="N35" i="4"/>
  <c r="I35" i="4"/>
  <c r="BU34" i="4"/>
  <c r="BT34" i="4"/>
  <c r="BS34" i="4"/>
  <c r="BR34" i="4"/>
  <c r="BV34" i="4" s="1"/>
  <c r="BX34" i="4" s="1"/>
  <c r="BQ34" i="4"/>
  <c r="BL34" i="4"/>
  <c r="BG34" i="4"/>
  <c r="BB34" i="4"/>
  <c r="AW34" i="4"/>
  <c r="AR34" i="4"/>
  <c r="AM34" i="4"/>
  <c r="AH34" i="4"/>
  <c r="AC34" i="4"/>
  <c r="X34" i="4"/>
  <c r="S34" i="4"/>
  <c r="N34" i="4"/>
  <c r="I34" i="4"/>
  <c r="BU33" i="4"/>
  <c r="BT33" i="4"/>
  <c r="BS33" i="4"/>
  <c r="BR33" i="4"/>
  <c r="BQ33" i="4"/>
  <c r="BL33" i="4"/>
  <c r="BG33" i="4"/>
  <c r="BB33" i="4"/>
  <c r="AW33" i="4"/>
  <c r="AR33" i="4"/>
  <c r="AM33" i="4"/>
  <c r="AH33" i="4"/>
  <c r="AC33" i="4"/>
  <c r="X33" i="4"/>
  <c r="S33" i="4"/>
  <c r="N33" i="4"/>
  <c r="I33" i="4"/>
  <c r="BU32" i="4"/>
  <c r="BT32" i="4"/>
  <c r="BS32" i="4"/>
  <c r="BR32" i="4"/>
  <c r="BQ32" i="4"/>
  <c r="BL32" i="4"/>
  <c r="BG32" i="4"/>
  <c r="BB32" i="4"/>
  <c r="AW32" i="4"/>
  <c r="AR32" i="4"/>
  <c r="AM32" i="4"/>
  <c r="AH32" i="4"/>
  <c r="AC32" i="4"/>
  <c r="X32" i="4"/>
  <c r="S32" i="4"/>
  <c r="N32" i="4"/>
  <c r="I32" i="4"/>
  <c r="BU31" i="4"/>
  <c r="BT31" i="4"/>
  <c r="BS31" i="4"/>
  <c r="BR31" i="4"/>
  <c r="BQ31" i="4"/>
  <c r="BL31" i="4"/>
  <c r="BG31" i="4"/>
  <c r="BB31" i="4"/>
  <c r="AW31" i="4"/>
  <c r="AR31" i="4"/>
  <c r="AM31" i="4"/>
  <c r="AH31" i="4"/>
  <c r="AC31" i="4"/>
  <c r="X31" i="4"/>
  <c r="S31" i="4"/>
  <c r="N31" i="4"/>
  <c r="I31" i="4"/>
  <c r="BU30" i="4"/>
  <c r="BT30" i="4"/>
  <c r="BS30" i="4"/>
  <c r="BR30" i="4"/>
  <c r="BV30" i="4" s="1"/>
  <c r="BX30" i="4" s="1"/>
  <c r="BQ30" i="4"/>
  <c r="BL30" i="4"/>
  <c r="BG30" i="4"/>
  <c r="BB30" i="4"/>
  <c r="AW30" i="4"/>
  <c r="AR30" i="4"/>
  <c r="AM30" i="4"/>
  <c r="AH30" i="4"/>
  <c r="AC30" i="4"/>
  <c r="X30" i="4"/>
  <c r="S30" i="4"/>
  <c r="N30" i="4"/>
  <c r="I30" i="4"/>
  <c r="BU29" i="4"/>
  <c r="BT29" i="4"/>
  <c r="BS29" i="4"/>
  <c r="BR29" i="4"/>
  <c r="BQ29" i="4"/>
  <c r="BL29" i="4"/>
  <c r="BG29" i="4"/>
  <c r="BB29" i="4"/>
  <c r="AW29" i="4"/>
  <c r="AR29" i="4"/>
  <c r="AM29" i="4"/>
  <c r="AH29" i="4"/>
  <c r="AC29" i="4"/>
  <c r="X29" i="4"/>
  <c r="S29" i="4"/>
  <c r="N29" i="4"/>
  <c r="I29" i="4"/>
  <c r="BU28" i="4"/>
  <c r="BT28" i="4"/>
  <c r="BS28" i="4"/>
  <c r="BR28" i="4"/>
  <c r="BQ28" i="4"/>
  <c r="BL28" i="4"/>
  <c r="BG28" i="4"/>
  <c r="BB28" i="4"/>
  <c r="AW28" i="4"/>
  <c r="AR28" i="4"/>
  <c r="AM28" i="4"/>
  <c r="AH28" i="4"/>
  <c r="AC28" i="4"/>
  <c r="X28" i="4"/>
  <c r="S28" i="4"/>
  <c r="N28" i="4"/>
  <c r="I28" i="4"/>
  <c r="BU27" i="4"/>
  <c r="BT27" i="4"/>
  <c r="BS27" i="4"/>
  <c r="BR27" i="4"/>
  <c r="BQ27" i="4"/>
  <c r="BL27" i="4"/>
  <c r="BG27" i="4"/>
  <c r="BB27" i="4"/>
  <c r="AW27" i="4"/>
  <c r="AR27" i="4"/>
  <c r="AM27" i="4"/>
  <c r="AH27" i="4"/>
  <c r="AC27" i="4"/>
  <c r="X27" i="4"/>
  <c r="S27" i="4"/>
  <c r="N27" i="4"/>
  <c r="I27" i="4"/>
  <c r="BU26" i="4"/>
  <c r="BT26" i="4"/>
  <c r="BS26" i="4"/>
  <c r="BR26" i="4"/>
  <c r="BV26" i="4" s="1"/>
  <c r="BX26" i="4" s="1"/>
  <c r="BQ26" i="4"/>
  <c r="BL26" i="4"/>
  <c r="BG26" i="4"/>
  <c r="BB26" i="4"/>
  <c r="AW26" i="4"/>
  <c r="AR26" i="4"/>
  <c r="AM26" i="4"/>
  <c r="AH26" i="4"/>
  <c r="AC26" i="4"/>
  <c r="X26" i="4"/>
  <c r="S26" i="4"/>
  <c r="N26" i="4"/>
  <c r="I26" i="4"/>
  <c r="BU25" i="4"/>
  <c r="BT25" i="4"/>
  <c r="BS25" i="4"/>
  <c r="BR25" i="4"/>
  <c r="BQ25" i="4"/>
  <c r="BL25" i="4"/>
  <c r="BG25" i="4"/>
  <c r="BB25" i="4"/>
  <c r="AW25" i="4"/>
  <c r="AR25" i="4"/>
  <c r="AM25" i="4"/>
  <c r="AH25" i="4"/>
  <c r="AC25" i="4"/>
  <c r="X25" i="4"/>
  <c r="S25" i="4"/>
  <c r="N25" i="4"/>
  <c r="I25" i="4"/>
  <c r="BU24" i="4"/>
  <c r="BT24" i="4"/>
  <c r="BS24" i="4"/>
  <c r="BR24" i="4"/>
  <c r="BQ24" i="4"/>
  <c r="BL24" i="4"/>
  <c r="BG24" i="4"/>
  <c r="BB24" i="4"/>
  <c r="AW24" i="4"/>
  <c r="AR24" i="4"/>
  <c r="AM24" i="4"/>
  <c r="AH24" i="4"/>
  <c r="AC24" i="4"/>
  <c r="X24" i="4"/>
  <c r="S24" i="4"/>
  <c r="N24" i="4"/>
  <c r="I24" i="4"/>
  <c r="BU23" i="4"/>
  <c r="BT23" i="4"/>
  <c r="BS23" i="4"/>
  <c r="BR23" i="4"/>
  <c r="BQ23" i="4"/>
  <c r="BL23" i="4"/>
  <c r="BG23" i="4"/>
  <c r="BB23" i="4"/>
  <c r="AW23" i="4"/>
  <c r="AR23" i="4"/>
  <c r="AM23" i="4"/>
  <c r="AH23" i="4"/>
  <c r="AC23" i="4"/>
  <c r="X23" i="4"/>
  <c r="S23" i="4"/>
  <c r="N23" i="4"/>
  <c r="I23" i="4"/>
  <c r="BU22" i="4"/>
  <c r="BT22" i="4"/>
  <c r="BS22" i="4"/>
  <c r="BR22" i="4"/>
  <c r="BV22" i="4" s="1"/>
  <c r="BX22" i="4" s="1"/>
  <c r="BQ22" i="4"/>
  <c r="BL22" i="4"/>
  <c r="BG22" i="4"/>
  <c r="BB22" i="4"/>
  <c r="AW22" i="4"/>
  <c r="AR22" i="4"/>
  <c r="AM22" i="4"/>
  <c r="AH22" i="4"/>
  <c r="AC22" i="4"/>
  <c r="X22" i="4"/>
  <c r="S22" i="4"/>
  <c r="N22" i="4"/>
  <c r="I22" i="4"/>
  <c r="BU21" i="4"/>
  <c r="BT21" i="4"/>
  <c r="BS21" i="4"/>
  <c r="BR21" i="4"/>
  <c r="BQ21" i="4"/>
  <c r="BL21" i="4"/>
  <c r="BG21" i="4"/>
  <c r="BB21" i="4"/>
  <c r="AW21" i="4"/>
  <c r="AR21" i="4"/>
  <c r="AM21" i="4"/>
  <c r="AH21" i="4"/>
  <c r="AC21" i="4"/>
  <c r="X21" i="4"/>
  <c r="S21" i="4"/>
  <c r="N21" i="4"/>
  <c r="I21" i="4"/>
  <c r="BU20" i="4"/>
  <c r="BT20" i="4"/>
  <c r="BS20" i="4"/>
  <c r="BR20" i="4"/>
  <c r="BQ20" i="4"/>
  <c r="BL20" i="4"/>
  <c r="BG20" i="4"/>
  <c r="BB20" i="4"/>
  <c r="AW20" i="4"/>
  <c r="AR20" i="4"/>
  <c r="AM20" i="4"/>
  <c r="AH20" i="4"/>
  <c r="AC20" i="4"/>
  <c r="X20" i="4"/>
  <c r="S20" i="4"/>
  <c r="N20" i="4"/>
  <c r="I20" i="4"/>
  <c r="BU19" i="4"/>
  <c r="BT19" i="4"/>
  <c r="BS19" i="4"/>
  <c r="BR19" i="4"/>
  <c r="BQ19" i="4"/>
  <c r="BL19" i="4"/>
  <c r="BG19" i="4"/>
  <c r="BB19" i="4"/>
  <c r="AW19" i="4"/>
  <c r="AR19" i="4"/>
  <c r="AM19" i="4"/>
  <c r="AH19" i="4"/>
  <c r="AC19" i="4"/>
  <c r="X19" i="4"/>
  <c r="S19" i="4"/>
  <c r="N19" i="4"/>
  <c r="I19" i="4"/>
  <c r="BU18" i="4"/>
  <c r="BT18" i="4"/>
  <c r="BS18" i="4"/>
  <c r="BR18" i="4"/>
  <c r="BV18" i="4" s="1"/>
  <c r="BX18" i="4" s="1"/>
  <c r="BQ18" i="4"/>
  <c r="BL18" i="4"/>
  <c r="BG18" i="4"/>
  <c r="BB18" i="4"/>
  <c r="AW18" i="4"/>
  <c r="AR18" i="4"/>
  <c r="AM18" i="4"/>
  <c r="AH18" i="4"/>
  <c r="AC18" i="4"/>
  <c r="X18" i="4"/>
  <c r="S18" i="4"/>
  <c r="N18" i="4"/>
  <c r="I18" i="4"/>
  <c r="BU17" i="4"/>
  <c r="BT17" i="4"/>
  <c r="BS17" i="4"/>
  <c r="BR17" i="4"/>
  <c r="BQ17" i="4"/>
  <c r="BL17" i="4"/>
  <c r="BG17" i="4"/>
  <c r="BB17" i="4"/>
  <c r="AW17" i="4"/>
  <c r="AR17" i="4"/>
  <c r="AM17" i="4"/>
  <c r="AH17" i="4"/>
  <c r="AC17" i="4"/>
  <c r="X17" i="4"/>
  <c r="S17" i="4"/>
  <c r="N17" i="4"/>
  <c r="I17" i="4"/>
  <c r="BU16" i="4"/>
  <c r="BT16" i="4"/>
  <c r="BS16" i="4"/>
  <c r="BR16" i="4"/>
  <c r="BQ16" i="4"/>
  <c r="BL16" i="4"/>
  <c r="BG16" i="4"/>
  <c r="BB16" i="4"/>
  <c r="AW16" i="4"/>
  <c r="AR16" i="4"/>
  <c r="AM16" i="4"/>
  <c r="AH16" i="4"/>
  <c r="AC16" i="4"/>
  <c r="X16" i="4"/>
  <c r="S16" i="4"/>
  <c r="N16" i="4"/>
  <c r="I16" i="4"/>
  <c r="BU15" i="4"/>
  <c r="BT15" i="4"/>
  <c r="BS15" i="4"/>
  <c r="BR15" i="4"/>
  <c r="BQ15" i="4"/>
  <c r="BL15" i="4"/>
  <c r="BG15" i="4"/>
  <c r="BB15" i="4"/>
  <c r="AW15" i="4"/>
  <c r="AR15" i="4"/>
  <c r="AM15" i="4"/>
  <c r="AH15" i="4"/>
  <c r="AC15" i="4"/>
  <c r="X15" i="4"/>
  <c r="S15" i="4"/>
  <c r="N15" i="4"/>
  <c r="I15" i="4"/>
  <c r="BU14" i="4"/>
  <c r="BT14" i="4"/>
  <c r="BS14" i="4"/>
  <c r="BR14" i="4"/>
  <c r="BV14" i="4" s="1"/>
  <c r="BX14" i="4" s="1"/>
  <c r="BQ14" i="4"/>
  <c r="BL14" i="4"/>
  <c r="BG14" i="4"/>
  <c r="BB14" i="4"/>
  <c r="AW14" i="4"/>
  <c r="AR14" i="4"/>
  <c r="AM14" i="4"/>
  <c r="AH14" i="4"/>
  <c r="AC14" i="4"/>
  <c r="X14" i="4"/>
  <c r="S14" i="4"/>
  <c r="N14" i="4"/>
  <c r="I14" i="4"/>
  <c r="BU13" i="4"/>
  <c r="BT13" i="4"/>
  <c r="BS13" i="4"/>
  <c r="BR13" i="4"/>
  <c r="BQ13" i="4"/>
  <c r="BL13" i="4"/>
  <c r="BG13" i="4"/>
  <c r="BB13" i="4"/>
  <c r="AW13" i="4"/>
  <c r="AR13" i="4"/>
  <c r="AM13" i="4"/>
  <c r="AH13" i="4"/>
  <c r="AC13" i="4"/>
  <c r="X13" i="4"/>
  <c r="S13" i="4"/>
  <c r="N13" i="4"/>
  <c r="I13" i="4"/>
  <c r="BU12" i="4"/>
  <c r="BT12" i="4"/>
  <c r="BS12" i="4"/>
  <c r="BR12" i="4"/>
  <c r="BQ12" i="4"/>
  <c r="BL12" i="4"/>
  <c r="BG12" i="4"/>
  <c r="BB12" i="4"/>
  <c r="AW12" i="4"/>
  <c r="AR12" i="4"/>
  <c r="AM12" i="4"/>
  <c r="AH12" i="4"/>
  <c r="AC12" i="4"/>
  <c r="X12" i="4"/>
  <c r="S12" i="4"/>
  <c r="N12" i="4"/>
  <c r="I12" i="4"/>
  <c r="BU11" i="4"/>
  <c r="BT11" i="4"/>
  <c r="BS11" i="4"/>
  <c r="BR11" i="4"/>
  <c r="BQ11" i="4"/>
  <c r="BL11" i="4"/>
  <c r="BG11" i="4"/>
  <c r="BB11" i="4"/>
  <c r="AW11" i="4"/>
  <c r="AR11" i="4"/>
  <c r="AM11" i="4"/>
  <c r="AH11" i="4"/>
  <c r="AC11" i="4"/>
  <c r="X11" i="4"/>
  <c r="S11" i="4"/>
  <c r="N11" i="4"/>
  <c r="I11" i="4"/>
  <c r="BU10" i="4"/>
  <c r="BT10" i="4"/>
  <c r="BS10" i="4"/>
  <c r="BR10" i="4"/>
  <c r="BV10" i="4" s="1"/>
  <c r="BX10" i="4" s="1"/>
  <c r="BQ10" i="4"/>
  <c r="BL10" i="4"/>
  <c r="BG10" i="4"/>
  <c r="BB10" i="4"/>
  <c r="AW10" i="4"/>
  <c r="AR10" i="4"/>
  <c r="AM10" i="4"/>
  <c r="AH10" i="4"/>
  <c r="AC10" i="4"/>
  <c r="X10" i="4"/>
  <c r="S10" i="4"/>
  <c r="N10" i="4"/>
  <c r="I10" i="4"/>
  <c r="BU9" i="4"/>
  <c r="BT9" i="4"/>
  <c r="BS9" i="4"/>
  <c r="BR9" i="4"/>
  <c r="BQ9" i="4"/>
  <c r="BL9" i="4"/>
  <c r="BG9" i="4"/>
  <c r="BB9" i="4"/>
  <c r="AW9" i="4"/>
  <c r="AR9" i="4"/>
  <c r="AM9" i="4"/>
  <c r="AM47" i="4" s="1"/>
  <c r="AH9" i="4"/>
  <c r="AC9" i="4"/>
  <c r="X9" i="4"/>
  <c r="S9" i="4"/>
  <c r="N9" i="4"/>
  <c r="I9" i="4"/>
  <c r="BU8" i="4"/>
  <c r="BT8" i="4"/>
  <c r="BS8" i="4"/>
  <c r="BR8" i="4"/>
  <c r="BQ8" i="4"/>
  <c r="BL8" i="4"/>
  <c r="BG8" i="4"/>
  <c r="BB8" i="4"/>
  <c r="AW8" i="4"/>
  <c r="AR8" i="4"/>
  <c r="AM8" i="4"/>
  <c r="AH8" i="4"/>
  <c r="AC8" i="4"/>
  <c r="X8" i="4"/>
  <c r="S8" i="4"/>
  <c r="N8" i="4"/>
  <c r="I8" i="4"/>
  <c r="BU7" i="4"/>
  <c r="BT7" i="4"/>
  <c r="BS7" i="4"/>
  <c r="BS47" i="4" s="1"/>
  <c r="BR7" i="4"/>
  <c r="BQ7" i="4"/>
  <c r="BL7" i="4"/>
  <c r="BG7" i="4"/>
  <c r="BB7" i="4"/>
  <c r="AW7" i="4"/>
  <c r="AR7" i="4"/>
  <c r="AM7" i="4"/>
  <c r="AH7" i="4"/>
  <c r="AC7" i="4"/>
  <c r="X7" i="4"/>
  <c r="S7" i="4"/>
  <c r="N7" i="4"/>
  <c r="I7" i="4"/>
  <c r="BX5" i="4"/>
  <c r="BV78" i="3"/>
  <c r="BQ78" i="3"/>
  <c r="BL78" i="3"/>
  <c r="BG78" i="3"/>
  <c r="BB78" i="3"/>
  <c r="AW78" i="3"/>
  <c r="AR78" i="3"/>
  <c r="AM78" i="3"/>
  <c r="AH78" i="3"/>
  <c r="AC78" i="3"/>
  <c r="BV77" i="3"/>
  <c r="BQ77" i="3"/>
  <c r="BL77" i="3"/>
  <c r="BG77" i="3"/>
  <c r="BB77" i="3"/>
  <c r="AW77" i="3"/>
  <c r="AR77" i="3"/>
  <c r="AM77" i="3"/>
  <c r="AH77" i="3"/>
  <c r="AC77" i="3"/>
  <c r="BV76" i="3"/>
  <c r="BQ76" i="3"/>
  <c r="BL76" i="3"/>
  <c r="BG76" i="3"/>
  <c r="BB76" i="3"/>
  <c r="AW76" i="3"/>
  <c r="AR76" i="3"/>
  <c r="AM76" i="3"/>
  <c r="AH76" i="3"/>
  <c r="AC76" i="3"/>
  <c r="I76" i="3"/>
  <c r="M75" i="3"/>
  <c r="M79" i="3" s="1"/>
  <c r="I74" i="3"/>
  <c r="BV73" i="3"/>
  <c r="I73" i="3"/>
  <c r="E73" i="3"/>
  <c r="BU72" i="3"/>
  <c r="BT72" i="3"/>
  <c r="BS72" i="3"/>
  <c r="BR72" i="3"/>
  <c r="BV72" i="3" s="1"/>
  <c r="N72" i="3"/>
  <c r="I72" i="3"/>
  <c r="I71" i="3"/>
  <c r="BH70" i="3"/>
  <c r="BU69" i="3"/>
  <c r="BT69" i="3"/>
  <c r="BS69" i="3"/>
  <c r="BR69" i="3"/>
  <c r="BQ69" i="3"/>
  <c r="BL69" i="3"/>
  <c r="BG69" i="3"/>
  <c r="BB69" i="3"/>
  <c r="AW69" i="3"/>
  <c r="AR69" i="3"/>
  <c r="AM69" i="3"/>
  <c r="AH69" i="3"/>
  <c r="AC69" i="3"/>
  <c r="X69" i="3"/>
  <c r="S69" i="3"/>
  <c r="N69" i="3"/>
  <c r="I69" i="3"/>
  <c r="BU68" i="3"/>
  <c r="BT68" i="3"/>
  <c r="BS68" i="3"/>
  <c r="BQ68" i="3"/>
  <c r="BL68" i="3"/>
  <c r="BG68" i="3"/>
  <c r="BB68" i="3"/>
  <c r="AW68" i="3"/>
  <c r="AR68" i="3"/>
  <c r="AM68" i="3"/>
  <c r="AH68" i="3"/>
  <c r="AC68" i="3"/>
  <c r="T68" i="3"/>
  <c r="S68" i="3"/>
  <c r="N68" i="3"/>
  <c r="I68" i="3"/>
  <c r="BU67" i="3"/>
  <c r="BT67" i="3"/>
  <c r="BS67" i="3"/>
  <c r="BR67" i="3"/>
  <c r="BQ67" i="3"/>
  <c r="BL67" i="3"/>
  <c r="BG67" i="3"/>
  <c r="BB67" i="3"/>
  <c r="AW67" i="3"/>
  <c r="AR67" i="3"/>
  <c r="AM67" i="3"/>
  <c r="AH67" i="3"/>
  <c r="AC67" i="3"/>
  <c r="X67" i="3"/>
  <c r="S67" i="3"/>
  <c r="N67" i="3"/>
  <c r="I67" i="3"/>
  <c r="BU66" i="3"/>
  <c r="BT66" i="3"/>
  <c r="BS66" i="3"/>
  <c r="BR66" i="3"/>
  <c r="BQ66" i="3"/>
  <c r="BL66" i="3"/>
  <c r="BG66" i="3"/>
  <c r="BB66" i="3"/>
  <c r="AW66" i="3"/>
  <c r="AR66" i="3"/>
  <c r="AM66" i="3"/>
  <c r="AH66" i="3"/>
  <c r="AC66" i="3"/>
  <c r="X66" i="3"/>
  <c r="S66" i="3"/>
  <c r="N66" i="3"/>
  <c r="I66" i="3"/>
  <c r="BU65" i="3"/>
  <c r="BU64" i="3" s="1"/>
  <c r="BT65" i="3"/>
  <c r="BT64" i="3" s="1"/>
  <c r="BS65" i="3"/>
  <c r="BS64" i="3" s="1"/>
  <c r="BR65" i="3"/>
  <c r="BR64" i="3" s="1"/>
  <c r="AM65" i="3"/>
  <c r="I65"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M64" i="3"/>
  <c r="L64" i="3"/>
  <c r="K64" i="3"/>
  <c r="J64" i="3"/>
  <c r="I64" i="3"/>
  <c r="H64" i="3"/>
  <c r="G64" i="3"/>
  <c r="F64" i="3"/>
  <c r="E64" i="3"/>
  <c r="BU63" i="3"/>
  <c r="BT63" i="3"/>
  <c r="BS63" i="3"/>
  <c r="BR63" i="3"/>
  <c r="AM63" i="3"/>
  <c r="I63" i="3"/>
  <c r="BU62" i="3"/>
  <c r="BT62" i="3"/>
  <c r="BS62" i="3"/>
  <c r="BR62" i="3"/>
  <c r="BR61" i="3" s="1"/>
  <c r="AM62" i="3"/>
  <c r="I62" i="3"/>
  <c r="I61" i="3" s="1"/>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H61" i="3"/>
  <c r="H70" i="3" s="1"/>
  <c r="G61" i="3"/>
  <c r="G70" i="3" s="1"/>
  <c r="F61" i="3"/>
  <c r="E61" i="3"/>
  <c r="BU59" i="3"/>
  <c r="BT59" i="3"/>
  <c r="BS59" i="3"/>
  <c r="BR59" i="3"/>
  <c r="BQ59" i="3"/>
  <c r="BL59" i="3"/>
  <c r="BG59" i="3"/>
  <c r="BB59" i="3"/>
  <c r="AW59" i="3"/>
  <c r="AR59" i="3"/>
  <c r="AM59" i="3"/>
  <c r="AH59" i="3"/>
  <c r="AC59" i="3"/>
  <c r="X59" i="3"/>
  <c r="S59" i="3"/>
  <c r="N59" i="3"/>
  <c r="I59" i="3"/>
  <c r="BT58" i="3"/>
  <c r="BS58" i="3"/>
  <c r="BR58" i="3"/>
  <c r="BQ58" i="3"/>
  <c r="BL58" i="3"/>
  <c r="BG58" i="3"/>
  <c r="BB58" i="3"/>
  <c r="AW58" i="3"/>
  <c r="AR58" i="3"/>
  <c r="AM58" i="3"/>
  <c r="AL58" i="3"/>
  <c r="AG58" i="3"/>
  <c r="AH58" i="3" s="1"/>
  <c r="AC58" i="3"/>
  <c r="AB58" i="3"/>
  <c r="W58" i="3"/>
  <c r="X58" i="3" s="1"/>
  <c r="S58" i="3"/>
  <c r="R58" i="3"/>
  <c r="M58" i="3"/>
  <c r="BU58" i="3" s="1"/>
  <c r="I58" i="3"/>
  <c r="H58" i="3"/>
  <c r="BU57" i="3"/>
  <c r="BT57" i="3"/>
  <c r="BS57" i="3"/>
  <c r="BR57" i="3"/>
  <c r="BQ57" i="3"/>
  <c r="BL57" i="3"/>
  <c r="BG57" i="3"/>
  <c r="BB57" i="3"/>
  <c r="AW57" i="3"/>
  <c r="AR57" i="3"/>
  <c r="AM57" i="3"/>
  <c r="AH57" i="3"/>
  <c r="AC57" i="3"/>
  <c r="X57" i="3"/>
  <c r="S57" i="3"/>
  <c r="N57" i="3"/>
  <c r="I57" i="3"/>
  <c r="BU56" i="3"/>
  <c r="BT56" i="3"/>
  <c r="BS56" i="3"/>
  <c r="BR56" i="3"/>
  <c r="BV56" i="3" s="1"/>
  <c r="BQ56" i="3"/>
  <c r="BL56" i="3"/>
  <c r="BG56" i="3"/>
  <c r="BB56" i="3"/>
  <c r="AW56" i="3"/>
  <c r="AR56" i="3"/>
  <c r="AM56" i="3"/>
  <c r="AH56" i="3"/>
  <c r="AC56" i="3"/>
  <c r="X56" i="3"/>
  <c r="S56" i="3"/>
  <c r="N56" i="3"/>
  <c r="I56" i="3"/>
  <c r="BU55" i="3"/>
  <c r="BT55" i="3"/>
  <c r="BS55" i="3"/>
  <c r="BR55" i="3"/>
  <c r="BQ55" i="3"/>
  <c r="BL55" i="3"/>
  <c r="BG55" i="3"/>
  <c r="BB55" i="3"/>
  <c r="AW55" i="3"/>
  <c r="AR55" i="3"/>
  <c r="AM55" i="3"/>
  <c r="AH55" i="3"/>
  <c r="AC55" i="3"/>
  <c r="X55" i="3"/>
  <c r="S55" i="3"/>
  <c r="N55" i="3"/>
  <c r="J55" i="3"/>
  <c r="I55" i="3"/>
  <c r="E55" i="3"/>
  <c r="BU54" i="3"/>
  <c r="BU53" i="3" s="1"/>
  <c r="BT54" i="3"/>
  <c r="BS54" i="3"/>
  <c r="BQ54" i="3"/>
  <c r="BQ53" i="3" s="1"/>
  <c r="BQ70" i="3" s="1"/>
  <c r="BL54" i="3"/>
  <c r="BG54" i="3"/>
  <c r="BB54" i="3"/>
  <c r="AW54" i="3"/>
  <c r="AW53" i="3" s="1"/>
  <c r="AR54" i="3"/>
  <c r="AH54" i="3"/>
  <c r="AC54" i="3"/>
  <c r="X54" i="3"/>
  <c r="S54" i="3"/>
  <c r="J54" i="3"/>
  <c r="E54" i="3"/>
  <c r="BP53" i="3"/>
  <c r="BP70" i="3" s="1"/>
  <c r="BO53" i="3"/>
  <c r="BN53" i="3"/>
  <c r="BM53" i="3"/>
  <c r="BK53" i="3"/>
  <c r="BJ53" i="3"/>
  <c r="BI53" i="3"/>
  <c r="BI70" i="3" s="1"/>
  <c r="BI75" i="3" s="1"/>
  <c r="BI79" i="3" s="1"/>
  <c r="BH53" i="3"/>
  <c r="BF53" i="3"/>
  <c r="BE53" i="3"/>
  <c r="BD53" i="3"/>
  <c r="BD70" i="3" s="1"/>
  <c r="BC53" i="3"/>
  <c r="BB53" i="3"/>
  <c r="BA53" i="3"/>
  <c r="BA70" i="3" s="1"/>
  <c r="BA75" i="3" s="1"/>
  <c r="BA79" i="3" s="1"/>
  <c r="AZ53" i="3"/>
  <c r="AZ70" i="3" s="1"/>
  <c r="AY53" i="3"/>
  <c r="AX53" i="3"/>
  <c r="AV53" i="3"/>
  <c r="AV70" i="3" s="1"/>
  <c r="AU53" i="3"/>
  <c r="AT53" i="3"/>
  <c r="AS53" i="3"/>
  <c r="AQ53" i="3"/>
  <c r="AP53" i="3"/>
  <c r="AO53" i="3"/>
  <c r="AN53" i="3"/>
  <c r="AN70" i="3" s="1"/>
  <c r="AL53" i="3"/>
  <c r="AK53" i="3"/>
  <c r="AJ53" i="3"/>
  <c r="AI53" i="3"/>
  <c r="AG53" i="3"/>
  <c r="AF53" i="3"/>
  <c r="AE53" i="3"/>
  <c r="AD53" i="3"/>
  <c r="AC53" i="3"/>
  <c r="AB53" i="3"/>
  <c r="AA53" i="3"/>
  <c r="Z53" i="3"/>
  <c r="Y53" i="3"/>
  <c r="X53" i="3"/>
  <c r="W53" i="3"/>
  <c r="V53" i="3"/>
  <c r="U53" i="3"/>
  <c r="T53" i="3"/>
  <c r="R53" i="3"/>
  <c r="Q53" i="3"/>
  <c r="P53" i="3"/>
  <c r="O53" i="3"/>
  <c r="M53" i="3"/>
  <c r="M70" i="3" s="1"/>
  <c r="L53" i="3"/>
  <c r="L70" i="3" s="1"/>
  <c r="K53" i="3"/>
  <c r="J53" i="3"/>
  <c r="BU52" i="3"/>
  <c r="BT52" i="3"/>
  <c r="BS52" i="3"/>
  <c r="BR52" i="3"/>
  <c r="BQ52" i="3"/>
  <c r="BL52" i="3"/>
  <c r="BG52" i="3"/>
  <c r="BB52" i="3"/>
  <c r="AW52" i="3"/>
  <c r="AR52" i="3"/>
  <c r="AM52" i="3"/>
  <c r="AH52" i="3"/>
  <c r="AC52" i="3"/>
  <c r="X52" i="3"/>
  <c r="S52" i="3"/>
  <c r="N52" i="3"/>
  <c r="I52" i="3"/>
  <c r="BU51" i="3"/>
  <c r="BT51" i="3"/>
  <c r="BS51" i="3"/>
  <c r="BR51" i="3"/>
  <c r="BQ51" i="3"/>
  <c r="BL51" i="3"/>
  <c r="BG51" i="3"/>
  <c r="BB51" i="3"/>
  <c r="AW51" i="3"/>
  <c r="AR51" i="3"/>
  <c r="AM51" i="3"/>
  <c r="AH51" i="3"/>
  <c r="AC51" i="3"/>
  <c r="X51" i="3"/>
  <c r="S51" i="3"/>
  <c r="N51" i="3"/>
  <c r="I51" i="3"/>
  <c r="BP48" i="3"/>
  <c r="BP75" i="3" s="1"/>
  <c r="BP79" i="3" s="1"/>
  <c r="BO48" i="3"/>
  <c r="BN48" i="3"/>
  <c r="BM48" i="3"/>
  <c r="BK48" i="3"/>
  <c r="BJ48" i="3"/>
  <c r="BI48" i="3"/>
  <c r="BH48" i="3"/>
  <c r="BF48" i="3"/>
  <c r="BE48" i="3"/>
  <c r="BD48" i="3"/>
  <c r="BC48" i="3"/>
  <c r="BA48" i="3"/>
  <c r="AZ48" i="3"/>
  <c r="AY48" i="3"/>
  <c r="AX48" i="3"/>
  <c r="AV48" i="3"/>
  <c r="AU48" i="3"/>
  <c r="AT48" i="3"/>
  <c r="AS48" i="3"/>
  <c r="AQ48" i="3"/>
  <c r="AP48" i="3"/>
  <c r="AO48" i="3"/>
  <c r="AN48" i="3"/>
  <c r="AN75" i="3" s="1"/>
  <c r="AN79" i="3" s="1"/>
  <c r="AI48" i="3"/>
  <c r="AG48" i="3"/>
  <c r="AE48" i="3"/>
  <c r="AD48" i="3"/>
  <c r="AB48" i="3"/>
  <c r="R48" i="3"/>
  <c r="Q48" i="3"/>
  <c r="P48" i="3"/>
  <c r="O48" i="3"/>
  <c r="M48" i="3"/>
  <c r="L48" i="3"/>
  <c r="K48" i="3"/>
  <c r="J48" i="3"/>
  <c r="BU47" i="3"/>
  <c r="BT47" i="3"/>
  <c r="BS47" i="3"/>
  <c r="BR47" i="3"/>
  <c r="BQ47" i="3"/>
  <c r="BL47" i="3"/>
  <c r="BG47" i="3"/>
  <c r="BB47" i="3"/>
  <c r="AW47" i="3"/>
  <c r="AR47" i="3"/>
  <c r="AM47" i="3"/>
  <c r="AH47" i="3"/>
  <c r="AC47" i="3"/>
  <c r="X47" i="3"/>
  <c r="S47" i="3"/>
  <c r="N47" i="3"/>
  <c r="I47" i="3"/>
  <c r="G47" i="3"/>
  <c r="E47" i="3"/>
  <c r="BU46" i="3"/>
  <c r="BT46" i="3"/>
  <c r="BS46" i="3"/>
  <c r="BR46" i="3"/>
  <c r="BQ46" i="3"/>
  <c r="BL46" i="3"/>
  <c r="BG46" i="3"/>
  <c r="BB46" i="3"/>
  <c r="AW46" i="3"/>
  <c r="AR46" i="3"/>
  <c r="AM46" i="3"/>
  <c r="AH46" i="3"/>
  <c r="AC46" i="3"/>
  <c r="X46" i="3"/>
  <c r="S46" i="3"/>
  <c r="N46" i="3"/>
  <c r="F46" i="3"/>
  <c r="E46" i="3"/>
  <c r="I46" i="3" s="1"/>
  <c r="BU45" i="3"/>
  <c r="BT45" i="3"/>
  <c r="BS45" i="3"/>
  <c r="BR45" i="3"/>
  <c r="BQ45" i="3"/>
  <c r="BL45" i="3"/>
  <c r="BG45" i="3"/>
  <c r="BB45" i="3"/>
  <c r="AW45" i="3"/>
  <c r="AR45" i="3"/>
  <c r="AM45" i="3"/>
  <c r="AH45" i="3"/>
  <c r="AC45" i="3"/>
  <c r="X45" i="3"/>
  <c r="S45" i="3"/>
  <c r="N45" i="3"/>
  <c r="I45" i="3"/>
  <c r="F45" i="3"/>
  <c r="E45" i="3"/>
  <c r="BU44" i="3"/>
  <c r="BT44" i="3"/>
  <c r="BS44" i="3"/>
  <c r="BR44" i="3"/>
  <c r="BV44" i="3" s="1"/>
  <c r="BQ44" i="3"/>
  <c r="BL44" i="3"/>
  <c r="BG44" i="3"/>
  <c r="BB44" i="3"/>
  <c r="AW44" i="3"/>
  <c r="AR44" i="3"/>
  <c r="AM44" i="3"/>
  <c r="AH44" i="3"/>
  <c r="AC44" i="3"/>
  <c r="X44" i="3"/>
  <c r="S44" i="3"/>
  <c r="N44" i="3"/>
  <c r="F44" i="3"/>
  <c r="E44" i="3"/>
  <c r="I44" i="3" s="1"/>
  <c r="BU43" i="3"/>
  <c r="BT43" i="3"/>
  <c r="BS43" i="3"/>
  <c r="BR43" i="3"/>
  <c r="BQ43" i="3"/>
  <c r="BL43" i="3"/>
  <c r="BG43" i="3"/>
  <c r="BB43" i="3"/>
  <c r="AW43" i="3"/>
  <c r="AR43" i="3"/>
  <c r="AM43" i="3"/>
  <c r="AH43" i="3"/>
  <c r="AC43" i="3"/>
  <c r="X43" i="3"/>
  <c r="S43" i="3"/>
  <c r="N43" i="3"/>
  <c r="G43" i="3"/>
  <c r="F43" i="3"/>
  <c r="E43" i="3"/>
  <c r="I43" i="3" s="1"/>
  <c r="BU42" i="3"/>
  <c r="BT42" i="3"/>
  <c r="BS42" i="3"/>
  <c r="BR42" i="3"/>
  <c r="BQ42" i="3"/>
  <c r="BL42" i="3"/>
  <c r="BG42" i="3"/>
  <c r="BB42" i="3"/>
  <c r="AW42" i="3"/>
  <c r="AR42" i="3"/>
  <c r="AM42" i="3"/>
  <c r="AH42" i="3"/>
  <c r="AC42" i="3"/>
  <c r="X42" i="3"/>
  <c r="S42" i="3"/>
  <c r="N42" i="3"/>
  <c r="F42" i="3"/>
  <c r="E42" i="3"/>
  <c r="I42" i="3" s="1"/>
  <c r="BU41" i="3"/>
  <c r="BT41" i="3"/>
  <c r="BS41" i="3"/>
  <c r="BR41" i="3"/>
  <c r="BQ41" i="3"/>
  <c r="BL41" i="3"/>
  <c r="BG41" i="3"/>
  <c r="BB41" i="3"/>
  <c r="AW41" i="3"/>
  <c r="AR41" i="3"/>
  <c r="AM41" i="3"/>
  <c r="AH41" i="3"/>
  <c r="AC41" i="3"/>
  <c r="X41" i="3"/>
  <c r="S41" i="3"/>
  <c r="N41" i="3"/>
  <c r="I41" i="3"/>
  <c r="F41" i="3"/>
  <c r="E41" i="3"/>
  <c r="BU40" i="3"/>
  <c r="BT40" i="3"/>
  <c r="BS40" i="3"/>
  <c r="BR40" i="3"/>
  <c r="BQ40" i="3"/>
  <c r="BL40" i="3"/>
  <c r="BG40" i="3"/>
  <c r="BB40" i="3"/>
  <c r="AW40" i="3"/>
  <c r="AR40" i="3"/>
  <c r="AM40" i="3"/>
  <c r="AH40" i="3"/>
  <c r="AC40" i="3"/>
  <c r="X40" i="3"/>
  <c r="S40" i="3"/>
  <c r="N40" i="3"/>
  <c r="F40" i="3"/>
  <c r="I40" i="3" s="1"/>
  <c r="E40" i="3"/>
  <c r="BU39" i="3"/>
  <c r="BT39" i="3"/>
  <c r="BS39" i="3"/>
  <c r="BR39" i="3"/>
  <c r="BV39" i="3" s="1"/>
  <c r="BQ39" i="3"/>
  <c r="BL39" i="3"/>
  <c r="BG39" i="3"/>
  <c r="BB39" i="3"/>
  <c r="AW39" i="3"/>
  <c r="AR39" i="3"/>
  <c r="AM39" i="3"/>
  <c r="AH39" i="3"/>
  <c r="AC39" i="3"/>
  <c r="X39" i="3"/>
  <c r="S39" i="3"/>
  <c r="N39" i="3"/>
  <c r="F39" i="3"/>
  <c r="E39" i="3"/>
  <c r="BU38" i="3"/>
  <c r="BT38" i="3"/>
  <c r="BS38" i="3"/>
  <c r="BR38" i="3"/>
  <c r="BQ38" i="3"/>
  <c r="BL38" i="3"/>
  <c r="BG38" i="3"/>
  <c r="BB38" i="3"/>
  <c r="AW38" i="3"/>
  <c r="AR38" i="3"/>
  <c r="AM38" i="3"/>
  <c r="AH38" i="3"/>
  <c r="AC38" i="3"/>
  <c r="X38" i="3"/>
  <c r="S38" i="3"/>
  <c r="N38" i="3"/>
  <c r="G38" i="3"/>
  <c r="F38" i="3"/>
  <c r="E38" i="3"/>
  <c r="I38" i="3" s="1"/>
  <c r="BU37" i="3"/>
  <c r="BT37" i="3"/>
  <c r="BS37" i="3"/>
  <c r="BR37" i="3"/>
  <c r="BQ37" i="3"/>
  <c r="BL37" i="3"/>
  <c r="BG37" i="3"/>
  <c r="BB37" i="3"/>
  <c r="AW37" i="3"/>
  <c r="AR37" i="3"/>
  <c r="AM37" i="3"/>
  <c r="AH37" i="3"/>
  <c r="AC37" i="3"/>
  <c r="X37" i="3"/>
  <c r="S37" i="3"/>
  <c r="N37" i="3"/>
  <c r="G37" i="3"/>
  <c r="F37" i="3"/>
  <c r="E37" i="3"/>
  <c r="I37" i="3" s="1"/>
  <c r="BU36" i="3"/>
  <c r="BT36" i="3"/>
  <c r="BS36" i="3"/>
  <c r="BR36" i="3"/>
  <c r="BV36" i="3" s="1"/>
  <c r="BQ36" i="3"/>
  <c r="BL36" i="3"/>
  <c r="BG36" i="3"/>
  <c r="BB36" i="3"/>
  <c r="AW36" i="3"/>
  <c r="AR36" i="3"/>
  <c r="AM36" i="3"/>
  <c r="AH36" i="3"/>
  <c r="AC36" i="3"/>
  <c r="X36" i="3"/>
  <c r="S36" i="3"/>
  <c r="N36" i="3"/>
  <c r="F36" i="3"/>
  <c r="E36" i="3"/>
  <c r="I36" i="3" s="1"/>
  <c r="BU35" i="3"/>
  <c r="BT35" i="3"/>
  <c r="BS35" i="3"/>
  <c r="BR35" i="3"/>
  <c r="BQ35" i="3"/>
  <c r="BL35" i="3"/>
  <c r="BG35" i="3"/>
  <c r="BB35" i="3"/>
  <c r="AW35" i="3"/>
  <c r="AR35" i="3"/>
  <c r="AM35" i="3"/>
  <c r="AH35" i="3"/>
  <c r="AC35" i="3"/>
  <c r="X35" i="3"/>
  <c r="S35" i="3"/>
  <c r="N35" i="3"/>
  <c r="I35" i="3"/>
  <c r="F35" i="3"/>
  <c r="E35" i="3"/>
  <c r="BU34" i="3"/>
  <c r="BT34" i="3"/>
  <c r="BQ34" i="3"/>
  <c r="BL34" i="3"/>
  <c r="BG34" i="3"/>
  <c r="BB34" i="3"/>
  <c r="AW34" i="3"/>
  <c r="AR34" i="3"/>
  <c r="AK34" i="3"/>
  <c r="AK48" i="3" s="1"/>
  <c r="AH34" i="3"/>
  <c r="AF34" i="3"/>
  <c r="AF48" i="3" s="1"/>
  <c r="Z34" i="3"/>
  <c r="AC34" i="3" s="1"/>
  <c r="V34" i="3"/>
  <c r="X34" i="3" s="1"/>
  <c r="U34" i="3"/>
  <c r="BS34" i="3" s="1"/>
  <c r="T34" i="3"/>
  <c r="BR34" i="3" s="1"/>
  <c r="S34" i="3"/>
  <c r="N34" i="3"/>
  <c r="G34" i="3"/>
  <c r="E34" i="3"/>
  <c r="I34" i="3" s="1"/>
  <c r="BU33" i="3"/>
  <c r="BT33" i="3"/>
  <c r="BS33" i="3"/>
  <c r="BR33" i="3"/>
  <c r="BV33" i="3" s="1"/>
  <c r="BQ33" i="3"/>
  <c r="BL33" i="3"/>
  <c r="BG33" i="3"/>
  <c r="BB33" i="3"/>
  <c r="AW33" i="3"/>
  <c r="AR33" i="3"/>
  <c r="AM33" i="3"/>
  <c r="AH33" i="3"/>
  <c r="AC33" i="3"/>
  <c r="T33" i="3"/>
  <c r="X33" i="3" s="1"/>
  <c r="S33" i="3"/>
  <c r="N33" i="3"/>
  <c r="E33" i="3"/>
  <c r="I33" i="3" s="1"/>
  <c r="BU32" i="3"/>
  <c r="BT32" i="3"/>
  <c r="BS32" i="3"/>
  <c r="BR32" i="3"/>
  <c r="AM32" i="3"/>
  <c r="AH32" i="3"/>
  <c r="AC32" i="3"/>
  <c r="X32" i="3"/>
  <c r="S32" i="3"/>
  <c r="N32" i="3"/>
  <c r="G32" i="3"/>
  <c r="F32" i="3"/>
  <c r="E32" i="3"/>
  <c r="I32" i="3" s="1"/>
  <c r="BU31" i="3"/>
  <c r="BS31" i="3"/>
  <c r="BR31" i="3"/>
  <c r="BQ31" i="3"/>
  <c r="BL31" i="3"/>
  <c r="BG31" i="3"/>
  <c r="BB31" i="3"/>
  <c r="AW31" i="3"/>
  <c r="AR31" i="3"/>
  <c r="AM31" i="3"/>
  <c r="AH31" i="3"/>
  <c r="AA31" i="3"/>
  <c r="AC31" i="3" s="1"/>
  <c r="X31" i="3"/>
  <c r="S31" i="3"/>
  <c r="N31" i="3"/>
  <c r="G31" i="3"/>
  <c r="F31" i="3"/>
  <c r="I31" i="3" s="1"/>
  <c r="E31" i="3"/>
  <c r="BU30" i="3"/>
  <c r="BT30" i="3"/>
  <c r="BS30" i="3"/>
  <c r="BR30" i="3"/>
  <c r="BQ30" i="3"/>
  <c r="BL30" i="3"/>
  <c r="BG30" i="3"/>
  <c r="BB30" i="3"/>
  <c r="AW30" i="3"/>
  <c r="AR30" i="3"/>
  <c r="AM30" i="3"/>
  <c r="AH30" i="3"/>
  <c r="AC30" i="3"/>
  <c r="X30" i="3"/>
  <c r="S30" i="3"/>
  <c r="N30" i="3"/>
  <c r="I30" i="3"/>
  <c r="BU29" i="3"/>
  <c r="BT29" i="3"/>
  <c r="BR29" i="3"/>
  <c r="BQ29" i="3"/>
  <c r="BL29" i="3"/>
  <c r="BG29" i="3"/>
  <c r="BB29" i="3"/>
  <c r="AW29" i="3"/>
  <c r="AR29" i="3"/>
  <c r="AM29" i="3"/>
  <c r="AH29" i="3"/>
  <c r="Z29" i="3"/>
  <c r="Y29" i="3"/>
  <c r="X29" i="3"/>
  <c r="S29" i="3"/>
  <c r="N29" i="3"/>
  <c r="G29" i="3"/>
  <c r="F29" i="3"/>
  <c r="E29" i="3"/>
  <c r="I29" i="3" s="1"/>
  <c r="BU28" i="3"/>
  <c r="BT28" i="3"/>
  <c r="BQ28" i="3"/>
  <c r="BL28" i="3"/>
  <c r="BG28" i="3"/>
  <c r="BB28" i="3"/>
  <c r="AW28" i="3"/>
  <c r="AR28" i="3"/>
  <c r="AM28" i="3"/>
  <c r="AH28" i="3"/>
  <c r="AA28" i="3"/>
  <c r="Z28" i="3"/>
  <c r="Y28" i="3"/>
  <c r="V28" i="3"/>
  <c r="T28" i="3"/>
  <c r="X28" i="3" s="1"/>
  <c r="S28" i="3"/>
  <c r="N28" i="3"/>
  <c r="G28" i="3"/>
  <c r="E28" i="3"/>
  <c r="I28" i="3" s="1"/>
  <c r="BU27" i="3"/>
  <c r="BT27" i="3"/>
  <c r="BS27" i="3"/>
  <c r="BR27" i="3"/>
  <c r="AM27" i="3"/>
  <c r="AH27" i="3"/>
  <c r="AC27" i="3"/>
  <c r="X27" i="3"/>
  <c r="S27" i="3"/>
  <c r="N27" i="3"/>
  <c r="G27" i="3"/>
  <c r="I27" i="3" s="1"/>
  <c r="E27" i="3"/>
  <c r="BU26" i="3"/>
  <c r="BT26" i="3"/>
  <c r="BS26" i="3"/>
  <c r="BR26" i="3"/>
  <c r="AM26" i="3"/>
  <c r="AH26" i="3"/>
  <c r="AC26" i="3"/>
  <c r="X26" i="3"/>
  <c r="S26" i="3"/>
  <c r="N26" i="3"/>
  <c r="F26" i="3"/>
  <c r="E26" i="3"/>
  <c r="I26" i="3" s="1"/>
  <c r="BU25" i="3"/>
  <c r="BT25" i="3"/>
  <c r="BS25" i="3"/>
  <c r="BR25" i="3"/>
  <c r="BQ25" i="3"/>
  <c r="BL25" i="3"/>
  <c r="BG25" i="3"/>
  <c r="BB25" i="3"/>
  <c r="AW25" i="3"/>
  <c r="AR25" i="3"/>
  <c r="AM25" i="3"/>
  <c r="AH25" i="3"/>
  <c r="AC25" i="3"/>
  <c r="X25" i="3"/>
  <c r="S25" i="3"/>
  <c r="N25" i="3"/>
  <c r="I25" i="3"/>
  <c r="F25" i="3"/>
  <c r="E25" i="3"/>
  <c r="BU24" i="3"/>
  <c r="BT24" i="3"/>
  <c r="BS24" i="3"/>
  <c r="BR24" i="3"/>
  <c r="BQ24" i="3"/>
  <c r="BL24" i="3"/>
  <c r="BG24" i="3"/>
  <c r="BB24" i="3"/>
  <c r="AW24" i="3"/>
  <c r="AR24" i="3"/>
  <c r="AM24" i="3"/>
  <c r="AH24" i="3"/>
  <c r="AC24" i="3"/>
  <c r="X24" i="3"/>
  <c r="S24" i="3"/>
  <c r="N24" i="3"/>
  <c r="G24" i="3"/>
  <c r="F24" i="3"/>
  <c r="I24" i="3" s="1"/>
  <c r="E24" i="3"/>
  <c r="BU23" i="3"/>
  <c r="BT23" i="3"/>
  <c r="BS23" i="3"/>
  <c r="BR23" i="3"/>
  <c r="BQ23" i="3"/>
  <c r="BL23" i="3"/>
  <c r="BG23" i="3"/>
  <c r="BB23" i="3"/>
  <c r="AW23" i="3"/>
  <c r="AR23" i="3"/>
  <c r="AM23" i="3"/>
  <c r="AH23" i="3"/>
  <c r="AC23" i="3"/>
  <c r="X23" i="3"/>
  <c r="S23" i="3"/>
  <c r="N23" i="3"/>
  <c r="F23" i="3"/>
  <c r="E23" i="3"/>
  <c r="I23" i="3" s="1"/>
  <c r="BU22" i="3"/>
  <c r="BS22" i="3"/>
  <c r="BR22" i="3"/>
  <c r="BQ22" i="3"/>
  <c r="BL22" i="3"/>
  <c r="BG22" i="3"/>
  <c r="BB22" i="3"/>
  <c r="AW22" i="3"/>
  <c r="AR22" i="3"/>
  <c r="AM22" i="3"/>
  <c r="AH22" i="3"/>
  <c r="AC22" i="3"/>
  <c r="AA22" i="3"/>
  <c r="BT22" i="3" s="1"/>
  <c r="X22" i="3"/>
  <c r="S22" i="3"/>
  <c r="N22" i="3"/>
  <c r="G22" i="3"/>
  <c r="F22" i="3"/>
  <c r="E22" i="3"/>
  <c r="I22" i="3" s="1"/>
  <c r="BU21" i="3"/>
  <c r="BT21" i="3"/>
  <c r="BS21" i="3"/>
  <c r="BR21" i="3"/>
  <c r="AM21" i="3"/>
  <c r="AH21" i="3"/>
  <c r="AC21" i="3"/>
  <c r="X21" i="3"/>
  <c r="S21" i="3"/>
  <c r="N21" i="3"/>
  <c r="E21" i="3"/>
  <c r="I21" i="3" s="1"/>
  <c r="BU20" i="3"/>
  <c r="BT20" i="3"/>
  <c r="BS20" i="3"/>
  <c r="BR20" i="3"/>
  <c r="BQ20" i="3"/>
  <c r="BL20" i="3"/>
  <c r="BG20" i="3"/>
  <c r="BB20" i="3"/>
  <c r="AW20" i="3"/>
  <c r="AR20" i="3"/>
  <c r="AM20" i="3"/>
  <c r="AH20" i="3"/>
  <c r="AC20" i="3"/>
  <c r="X20" i="3"/>
  <c r="S20" i="3"/>
  <c r="N20" i="3"/>
  <c r="G20" i="3"/>
  <c r="E20" i="3"/>
  <c r="I20" i="3" s="1"/>
  <c r="BU19" i="3"/>
  <c r="BT19" i="3"/>
  <c r="BS19" i="3"/>
  <c r="BR19" i="3"/>
  <c r="AM19" i="3"/>
  <c r="AH19" i="3"/>
  <c r="AC19" i="3"/>
  <c r="X19" i="3"/>
  <c r="S19" i="3"/>
  <c r="N19" i="3"/>
  <c r="I19" i="3"/>
  <c r="BU18" i="3"/>
  <c r="BT18" i="3"/>
  <c r="BS18" i="3"/>
  <c r="BR18" i="3"/>
  <c r="BQ18" i="3"/>
  <c r="BL18" i="3"/>
  <c r="BG18" i="3"/>
  <c r="BB18" i="3"/>
  <c r="AW18" i="3"/>
  <c r="AR18" i="3"/>
  <c r="AM18" i="3"/>
  <c r="AH18" i="3"/>
  <c r="AC18" i="3"/>
  <c r="X18" i="3"/>
  <c r="S18" i="3"/>
  <c r="N18" i="3"/>
  <c r="G18" i="3"/>
  <c r="I18" i="3" s="1"/>
  <c r="E18" i="3"/>
  <c r="BU17" i="3"/>
  <c r="BT17" i="3"/>
  <c r="BS17" i="3"/>
  <c r="BR17" i="3"/>
  <c r="BQ17" i="3"/>
  <c r="BL17" i="3"/>
  <c r="BG17" i="3"/>
  <c r="BB17" i="3"/>
  <c r="AW17" i="3"/>
  <c r="AR17" i="3"/>
  <c r="AM17" i="3"/>
  <c r="AH17" i="3"/>
  <c r="AC17" i="3"/>
  <c r="X17" i="3"/>
  <c r="S17" i="3"/>
  <c r="N17" i="3"/>
  <c r="F17" i="3"/>
  <c r="E17" i="3"/>
  <c r="I17" i="3" s="1"/>
  <c r="BT16" i="3"/>
  <c r="BS16" i="3"/>
  <c r="BR16" i="3"/>
  <c r="BQ16" i="3"/>
  <c r="BL16" i="3"/>
  <c r="BG16" i="3"/>
  <c r="BB16" i="3"/>
  <c r="AW16" i="3"/>
  <c r="AR16" i="3"/>
  <c r="AL16" i="3"/>
  <c r="AH16" i="3"/>
  <c r="AC16" i="3"/>
  <c r="X16" i="3"/>
  <c r="S16" i="3"/>
  <c r="N16" i="3"/>
  <c r="E16" i="3"/>
  <c r="I16" i="3" s="1"/>
  <c r="BU15" i="3"/>
  <c r="BT15" i="3"/>
  <c r="BS15" i="3"/>
  <c r="BR15" i="3"/>
  <c r="BQ15" i="3"/>
  <c r="BL15" i="3"/>
  <c r="BG15" i="3"/>
  <c r="BB15" i="3"/>
  <c r="AW15" i="3"/>
  <c r="AR15" i="3"/>
  <c r="AM15" i="3"/>
  <c r="AH15" i="3"/>
  <c r="AC15" i="3"/>
  <c r="Y15" i="3"/>
  <c r="Y48" i="3" s="1"/>
  <c r="X15" i="3"/>
  <c r="S15" i="3"/>
  <c r="N15" i="3"/>
  <c r="G15" i="3"/>
  <c r="E15" i="3"/>
  <c r="I15" i="3" s="1"/>
  <c r="BT14" i="3"/>
  <c r="BR14" i="3"/>
  <c r="BQ14" i="3"/>
  <c r="BL14" i="3"/>
  <c r="BG14" i="3"/>
  <c r="BB14" i="3"/>
  <c r="AW14" i="3"/>
  <c r="AR14" i="3"/>
  <c r="AL14" i="3"/>
  <c r="AJ14" i="3"/>
  <c r="AH14" i="3"/>
  <c r="AC14" i="3"/>
  <c r="W14" i="3"/>
  <c r="U14" i="3"/>
  <c r="U48" i="3" s="1"/>
  <c r="S14" i="3"/>
  <c r="N14" i="3"/>
  <c r="H14" i="3"/>
  <c r="H48" i="3" s="1"/>
  <c r="G14" i="3"/>
  <c r="F14" i="3"/>
  <c r="E14" i="3"/>
  <c r="I14" i="3" s="1"/>
  <c r="BU13" i="3"/>
  <c r="BT13" i="3"/>
  <c r="BS13" i="3"/>
  <c r="BR13" i="3"/>
  <c r="AM13" i="3"/>
  <c r="AH13" i="3"/>
  <c r="AC13" i="3"/>
  <c r="X13" i="3"/>
  <c r="S13" i="3"/>
  <c r="N13" i="3"/>
  <c r="E13" i="3"/>
  <c r="I13" i="3" s="1"/>
  <c r="BU12" i="3"/>
  <c r="BT12" i="3"/>
  <c r="BS12" i="3"/>
  <c r="BR12" i="3"/>
  <c r="BV12" i="3" s="1"/>
  <c r="BQ12" i="3"/>
  <c r="BL12" i="3"/>
  <c r="BG12" i="3"/>
  <c r="BB12" i="3"/>
  <c r="AW12" i="3"/>
  <c r="AR12" i="3"/>
  <c r="AM12" i="3"/>
  <c r="AH12" i="3"/>
  <c r="AC12" i="3"/>
  <c r="X12" i="3"/>
  <c r="S12" i="3"/>
  <c r="N12" i="3"/>
  <c r="G12" i="3"/>
  <c r="E12" i="3"/>
  <c r="I12" i="3" s="1"/>
  <c r="BU11" i="3"/>
  <c r="BT11" i="3"/>
  <c r="BS11" i="3"/>
  <c r="BR11" i="3"/>
  <c r="BQ11" i="3"/>
  <c r="BL11" i="3"/>
  <c r="BG11" i="3"/>
  <c r="BB11" i="3"/>
  <c r="AW11" i="3"/>
  <c r="AR11" i="3"/>
  <c r="AM11" i="3"/>
  <c r="AH11" i="3"/>
  <c r="AC11" i="3"/>
  <c r="X11" i="3"/>
  <c r="S11" i="3"/>
  <c r="N11" i="3"/>
  <c r="I11" i="3"/>
  <c r="F11" i="3"/>
  <c r="E11" i="3"/>
  <c r="BU10" i="3"/>
  <c r="BT10" i="3"/>
  <c r="BS10" i="3"/>
  <c r="BR10" i="3"/>
  <c r="AM10" i="3"/>
  <c r="AH10" i="3"/>
  <c r="AA10" i="3"/>
  <c r="X10" i="3"/>
  <c r="S10" i="3"/>
  <c r="N10" i="3"/>
  <c r="F10" i="3"/>
  <c r="E10" i="3"/>
  <c r="I10" i="3" s="1"/>
  <c r="BU9" i="3"/>
  <c r="BT9" i="3"/>
  <c r="BS9" i="3"/>
  <c r="BR9" i="3"/>
  <c r="BQ9" i="3"/>
  <c r="BL9" i="3"/>
  <c r="BG9" i="3"/>
  <c r="BB9" i="3"/>
  <c r="AW9" i="3"/>
  <c r="AR9" i="3"/>
  <c r="AM9" i="3"/>
  <c r="AH9" i="3"/>
  <c r="AC9" i="3"/>
  <c r="X9" i="3"/>
  <c r="S9" i="3"/>
  <c r="N9" i="3"/>
  <c r="F9" i="3"/>
  <c r="E9" i="3"/>
  <c r="I9" i="3" s="1"/>
  <c r="BU8" i="3"/>
  <c r="BT8" i="3"/>
  <c r="BS8" i="3"/>
  <c r="BR8" i="3"/>
  <c r="BQ8" i="3"/>
  <c r="BL8" i="3"/>
  <c r="BG8" i="3"/>
  <c r="BB8" i="3"/>
  <c r="AW8" i="3"/>
  <c r="AR8" i="3"/>
  <c r="AM8" i="3"/>
  <c r="AH8" i="3"/>
  <c r="AC8" i="3"/>
  <c r="X8" i="3"/>
  <c r="S8" i="3"/>
  <c r="N8" i="3"/>
  <c r="I8" i="3"/>
  <c r="F8" i="3"/>
  <c r="E8" i="3"/>
  <c r="BU7" i="3"/>
  <c r="BT7" i="3"/>
  <c r="BS7" i="3"/>
  <c r="BR7" i="3"/>
  <c r="BQ7" i="3"/>
  <c r="BL7" i="3"/>
  <c r="BG7" i="3"/>
  <c r="BB7" i="3"/>
  <c r="AW7" i="3"/>
  <c r="AR7" i="3"/>
  <c r="AM7" i="3"/>
  <c r="AH7" i="3"/>
  <c r="AC7" i="3"/>
  <c r="X7" i="3"/>
  <c r="S7" i="3"/>
  <c r="N7" i="3"/>
  <c r="G7" i="3"/>
  <c r="E7" i="3"/>
  <c r="AA145" i="2"/>
  <c r="N145" i="2"/>
  <c r="K145" i="2"/>
  <c r="I145" i="2"/>
  <c r="U145" i="2" s="1"/>
  <c r="AA144" i="2"/>
  <c r="U144" i="2"/>
  <c r="AA143" i="2"/>
  <c r="U143" i="2"/>
  <c r="AA142" i="2"/>
  <c r="U142" i="2"/>
  <c r="AA141" i="2"/>
  <c r="U141" i="2"/>
  <c r="AA139" i="2"/>
  <c r="U139" i="2"/>
  <c r="AA138" i="2"/>
  <c r="U138" i="2"/>
  <c r="AA137" i="2"/>
  <c r="U137" i="2"/>
  <c r="AA136" i="2"/>
  <c r="U136" i="2"/>
  <c r="AA135" i="2"/>
  <c r="U135" i="2"/>
  <c r="AA134" i="2"/>
  <c r="U134" i="2"/>
  <c r="AA133" i="2"/>
  <c r="U133" i="2"/>
  <c r="AA132" i="2"/>
  <c r="U132" i="2"/>
  <c r="U131" i="2"/>
  <c r="AA130" i="2"/>
  <c r="U130" i="2"/>
  <c r="AE129" i="2"/>
  <c r="AA129" i="2"/>
  <c r="U129" i="2"/>
  <c r="AE128" i="2"/>
  <c r="AA128" i="2"/>
  <c r="U128" i="2"/>
  <c r="AE127" i="2"/>
  <c r="AA127" i="2"/>
  <c r="U127" i="2"/>
  <c r="AE126" i="2"/>
  <c r="AA126" i="2"/>
  <c r="U126" i="2"/>
  <c r="AA125" i="2"/>
  <c r="U125" i="2"/>
  <c r="AE124" i="2"/>
  <c r="AA124" i="2"/>
  <c r="U124" i="2"/>
  <c r="U123" i="2"/>
  <c r="AF122" i="2"/>
  <c r="AE122" i="2"/>
  <c r="AE125" i="2" s="1"/>
  <c r="AE130" i="2" s="1"/>
  <c r="U122" i="2"/>
  <c r="AA121" i="2"/>
  <c r="U121" i="2"/>
  <c r="T120" i="2"/>
  <c r="S120" i="2"/>
  <c r="R120" i="2"/>
  <c r="Q120" i="2"/>
  <c r="P120" i="2"/>
  <c r="O120" i="2"/>
  <c r="N120" i="2"/>
  <c r="M120" i="2"/>
  <c r="L120" i="2"/>
  <c r="K120" i="2"/>
  <c r="J120" i="2"/>
  <c r="I120" i="2"/>
  <c r="AA119" i="2"/>
  <c r="N119" i="2"/>
  <c r="M119" i="2"/>
  <c r="L119" i="2"/>
  <c r="K119" i="2"/>
  <c r="J119" i="2"/>
  <c r="U119" i="2" s="1"/>
  <c r="AA115" i="2"/>
  <c r="AF114" i="2"/>
  <c r="AE114" i="2"/>
  <c r="AD114" i="2"/>
  <c r="AF113" i="2"/>
  <c r="AE113" i="2"/>
  <c r="AD113" i="2"/>
  <c r="N113" i="2"/>
  <c r="M113" i="2"/>
  <c r="M96" i="2" s="1"/>
  <c r="M80" i="2" s="1"/>
  <c r="L113" i="2"/>
  <c r="K113" i="2"/>
  <c r="J113" i="2"/>
  <c r="I113" i="2"/>
  <c r="H113" i="2"/>
  <c r="AA111" i="2"/>
  <c r="AA110" i="2"/>
  <c r="J110" i="2"/>
  <c r="AA109" i="2"/>
  <c r="AA108" i="2"/>
  <c r="J108" i="2"/>
  <c r="AA107" i="2"/>
  <c r="AA106" i="2"/>
  <c r="AA105" i="2"/>
  <c r="AA104" i="2"/>
  <c r="AA103" i="2"/>
  <c r="AA102" i="2"/>
  <c r="AA101" i="2"/>
  <c r="N100" i="2"/>
  <c r="L100" i="2"/>
  <c r="K100" i="2"/>
  <c r="J100" i="2"/>
  <c r="J96" i="2" s="1"/>
  <c r="I100" i="2"/>
  <c r="AA99" i="2"/>
  <c r="J99" i="2"/>
  <c r="AA98" i="2"/>
  <c r="AA97" i="2"/>
  <c r="AF96" i="2"/>
  <c r="AE96" i="2"/>
  <c r="AD96" i="2"/>
  <c r="T96" i="2"/>
  <c r="S96" i="2"/>
  <c r="S80" i="2" s="1"/>
  <c r="R96" i="2"/>
  <c r="R80" i="2" s="1"/>
  <c r="Q96" i="2"/>
  <c r="Q80" i="2" s="1"/>
  <c r="Q118" i="2" s="1"/>
  <c r="Q117" i="2" s="1"/>
  <c r="P96" i="2"/>
  <c r="O96" i="2"/>
  <c r="O80" i="2" s="1"/>
  <c r="L96" i="2"/>
  <c r="L80" i="2" s="1"/>
  <c r="L118" i="2" s="1"/>
  <c r="L117" i="2" s="1"/>
  <c r="AF95" i="2"/>
  <c r="AE95" i="2"/>
  <c r="AD95" i="2"/>
  <c r="AA95" i="2"/>
  <c r="U95" i="2"/>
  <c r="AF94" i="2"/>
  <c r="AE94" i="2"/>
  <c r="U94" i="2"/>
  <c r="AA93" i="2"/>
  <c r="AA92" i="2"/>
  <c r="U92" i="2"/>
  <c r="AA91" i="2"/>
  <c r="U91" i="2"/>
  <c r="AA90" i="2"/>
  <c r="J90" i="2"/>
  <c r="U90" i="2" s="1"/>
  <c r="AA89" i="2"/>
  <c r="AA88" i="2"/>
  <c r="U88" i="2"/>
  <c r="AA87" i="2"/>
  <c r="U87" i="2"/>
  <c r="AA86" i="2"/>
  <c r="U86" i="2"/>
  <c r="AA85" i="2"/>
  <c r="J85" i="2"/>
  <c r="U85" i="2" s="1"/>
  <c r="AA84" i="2"/>
  <c r="U84" i="2"/>
  <c r="AA83" i="2"/>
  <c r="U83" i="2"/>
  <c r="AA82" i="2"/>
  <c r="J82" i="2"/>
  <c r="U82" i="2" s="1"/>
  <c r="AA81" i="2"/>
  <c r="T80" i="2"/>
  <c r="T118" i="2" s="1"/>
  <c r="T117" i="2" s="1"/>
  <c r="P80" i="2"/>
  <c r="P118" i="2" s="1"/>
  <c r="P117" i="2" s="1"/>
  <c r="H80" i="2"/>
  <c r="AA79" i="2"/>
  <c r="AA78" i="2"/>
  <c r="AA76" i="2"/>
  <c r="U76" i="2"/>
  <c r="AA74" i="2"/>
  <c r="N74" i="2"/>
  <c r="L74" i="2"/>
  <c r="U74" i="2" s="1"/>
  <c r="AA73" i="2"/>
  <c r="U73" i="2"/>
  <c r="U72" i="2" s="1"/>
  <c r="T72" i="2"/>
  <c r="S72" i="2"/>
  <c r="R72" i="2"/>
  <c r="Q72" i="2"/>
  <c r="P72" i="2"/>
  <c r="O72" i="2"/>
  <c r="N72" i="2"/>
  <c r="M72" i="2"/>
  <c r="L72" i="2"/>
  <c r="K72" i="2"/>
  <c r="J72" i="2"/>
  <c r="I72" i="2"/>
  <c r="H72" i="2"/>
  <c r="AA71" i="2"/>
  <c r="U71" i="2"/>
  <c r="AA70" i="2"/>
  <c r="U70" i="2"/>
  <c r="AA69" i="2"/>
  <c r="AA68" i="2"/>
  <c r="U68" i="2"/>
  <c r="AA67" i="2"/>
  <c r="U67" i="2"/>
  <c r="AA66" i="2"/>
  <c r="U66" i="2"/>
  <c r="AA65" i="2"/>
  <c r="AA64" i="2"/>
  <c r="T64" i="2"/>
  <c r="S64" i="2"/>
  <c r="R64" i="2"/>
  <c r="Q64" i="2"/>
  <c r="P64" i="2"/>
  <c r="O64" i="2"/>
  <c r="N64" i="2"/>
  <c r="M64" i="2"/>
  <c r="L64" i="2"/>
  <c r="K64" i="2"/>
  <c r="J64" i="2"/>
  <c r="I64" i="2"/>
  <c r="H64" i="2"/>
  <c r="AA63" i="2"/>
  <c r="U63" i="2"/>
  <c r="Z63" i="2" s="1"/>
  <c r="AA62" i="2"/>
  <c r="Z62" i="2"/>
  <c r="AA61" i="2"/>
  <c r="U61" i="2"/>
  <c r="AA60" i="2"/>
  <c r="U60" i="2"/>
  <c r="Z60" i="2" s="1"/>
  <c r="AA59" i="2"/>
  <c r="U59" i="2"/>
  <c r="Z59" i="2" s="1"/>
  <c r="AA58" i="2"/>
  <c r="U58" i="2"/>
  <c r="Z58" i="2" s="1"/>
  <c r="AA57" i="2"/>
  <c r="U57" i="2"/>
  <c r="Z57" i="2" s="1"/>
  <c r="AA56" i="2"/>
  <c r="U56" i="2"/>
  <c r="Z56" i="2" s="1"/>
  <c r="AA55" i="2"/>
  <c r="U55" i="2"/>
  <c r="Z55" i="2" s="1"/>
  <c r="AA54" i="2"/>
  <c r="U54" i="2"/>
  <c r="Z54" i="2" s="1"/>
  <c r="AA53" i="2"/>
  <c r="Z53" i="2"/>
  <c r="AA52" i="2"/>
  <c r="U52" i="2"/>
  <c r="Z52" i="2" s="1"/>
  <c r="AA51" i="2"/>
  <c r="U51" i="2"/>
  <c r="N50" i="2"/>
  <c r="M50" i="2"/>
  <c r="L50" i="2"/>
  <c r="K50" i="2"/>
  <c r="J50" i="2"/>
  <c r="I50" i="2"/>
  <c r="H50" i="2"/>
  <c r="AA49" i="2"/>
  <c r="Z48" i="2"/>
  <c r="AA48" i="2"/>
  <c r="U48" i="2"/>
  <c r="AA47" i="2"/>
  <c r="U47" i="2"/>
  <c r="Z47" i="2" s="1"/>
  <c r="AA46" i="2"/>
  <c r="U46" i="2"/>
  <c r="Z46" i="2" s="1"/>
  <c r="AA45" i="2"/>
  <c r="U45" i="2"/>
  <c r="Z45" i="2" s="1"/>
  <c r="AA44" i="2"/>
  <c r="U44" i="2"/>
  <c r="Z44" i="2" s="1"/>
  <c r="Z43" i="2"/>
  <c r="AA43" i="2"/>
  <c r="U43" i="2"/>
  <c r="AA42" i="2"/>
  <c r="U42" i="2"/>
  <c r="Z42" i="2" s="1"/>
  <c r="AA41" i="2"/>
  <c r="U41" i="2"/>
  <c r="Z41" i="2" s="1"/>
  <c r="Z40" i="2"/>
  <c r="AA40" i="2"/>
  <c r="U40" i="2"/>
  <c r="AA39" i="2"/>
  <c r="U39" i="2"/>
  <c r="Z39" i="2" s="1"/>
  <c r="AA38" i="2"/>
  <c r="U38" i="2"/>
  <c r="Z38" i="2" s="1"/>
  <c r="T37" i="2"/>
  <c r="T30" i="2" s="1"/>
  <c r="S37" i="2"/>
  <c r="S30" i="2" s="1"/>
  <c r="R37" i="2"/>
  <c r="R30" i="2" s="1"/>
  <c r="Q37" i="2"/>
  <c r="P37" i="2"/>
  <c r="P30" i="2" s="1"/>
  <c r="O37" i="2"/>
  <c r="O30" i="2" s="1"/>
  <c r="N37" i="2"/>
  <c r="M37" i="2"/>
  <c r="L37" i="2"/>
  <c r="K37" i="2"/>
  <c r="J37" i="2"/>
  <c r="I37" i="2"/>
  <c r="H37" i="2"/>
  <c r="AA36" i="2"/>
  <c r="AA35" i="2"/>
  <c r="U35" i="2"/>
  <c r="Z35" i="2" s="1"/>
  <c r="AA34" i="2"/>
  <c r="U34" i="2"/>
  <c r="Z34" i="2" s="1"/>
  <c r="AA33" i="2"/>
  <c r="U33" i="2"/>
  <c r="Z33" i="2" s="1"/>
  <c r="AA32" i="2"/>
  <c r="U32" i="2"/>
  <c r="N31" i="2"/>
  <c r="M31" i="2"/>
  <c r="L31" i="2"/>
  <c r="L30" i="2" s="1"/>
  <c r="K31" i="2"/>
  <c r="J31" i="2"/>
  <c r="I31" i="2"/>
  <c r="H31" i="2"/>
  <c r="Q30" i="2"/>
  <c r="M30" i="2"/>
  <c r="I30" i="2"/>
  <c r="Z29" i="2"/>
  <c r="AA29" i="2"/>
  <c r="U29" i="2"/>
  <c r="U28" i="2"/>
  <c r="Z28" i="2" s="1"/>
  <c r="AA27" i="2"/>
  <c r="AA26" i="2"/>
  <c r="U26" i="2"/>
  <c r="Z26" i="2" s="1"/>
  <c r="Z25" i="2"/>
  <c r="AA25" i="2"/>
  <c r="U25" i="2"/>
  <c r="AA24" i="2"/>
  <c r="U23" i="2"/>
  <c r="T23" i="2"/>
  <c r="S23" i="2"/>
  <c r="R23" i="2"/>
  <c r="Q23" i="2"/>
  <c r="P23" i="2"/>
  <c r="O23" i="2"/>
  <c r="N23" i="2"/>
  <c r="M23" i="2"/>
  <c r="L23" i="2"/>
  <c r="K23" i="2"/>
  <c r="J23" i="2"/>
  <c r="I23" i="2"/>
  <c r="H23" i="2"/>
  <c r="AA22" i="2"/>
  <c r="U22" i="2"/>
  <c r="Z22" i="2" s="1"/>
  <c r="T21" i="2"/>
  <c r="S21" i="2"/>
  <c r="R21" i="2"/>
  <c r="Q21" i="2"/>
  <c r="P21" i="2"/>
  <c r="O21" i="2"/>
  <c r="N21" i="2"/>
  <c r="M21" i="2"/>
  <c r="L21" i="2"/>
  <c r="K21" i="2"/>
  <c r="J21" i="2"/>
  <c r="I21" i="2"/>
  <c r="H21" i="2"/>
  <c r="AA20" i="2"/>
  <c r="U20" i="2"/>
  <c r="Z20" i="2" s="1"/>
  <c r="AA19" i="2"/>
  <c r="N19" i="2"/>
  <c r="M19" i="2"/>
  <c r="L19" i="2"/>
  <c r="K19" i="2"/>
  <c r="J19" i="2"/>
  <c r="AA18" i="2"/>
  <c r="Z18" i="2"/>
  <c r="AA17" i="2"/>
  <c r="U17" i="2"/>
  <c r="Z17" i="2" s="1"/>
  <c r="AA16" i="2"/>
  <c r="U16" i="2"/>
  <c r="Z16" i="2" s="1"/>
  <c r="AA15" i="2"/>
  <c r="U15" i="2"/>
  <c r="Z15" i="2" s="1"/>
  <c r="AA14" i="2"/>
  <c r="N14" i="2"/>
  <c r="M14" i="2"/>
  <c r="L14" i="2"/>
  <c r="K14" i="2"/>
  <c r="J14" i="2"/>
  <c r="AA13" i="2"/>
  <c r="Z13" i="2"/>
  <c r="N12" i="2"/>
  <c r="M12" i="2"/>
  <c r="L12" i="2"/>
  <c r="K12" i="2"/>
  <c r="J12" i="2"/>
  <c r="AA11" i="2"/>
  <c r="N11" i="2"/>
  <c r="M11" i="2"/>
  <c r="L11" i="2"/>
  <c r="K11" i="2"/>
  <c r="J11" i="2"/>
  <c r="U11" i="2" s="1"/>
  <c r="Z11" i="2" s="1"/>
  <c r="AA10" i="2"/>
  <c r="N10" i="2"/>
  <c r="M10" i="2"/>
  <c r="L10" i="2"/>
  <c r="K10" i="2"/>
  <c r="J10" i="2"/>
  <c r="N9" i="2"/>
  <c r="M9" i="2"/>
  <c r="L9" i="2"/>
  <c r="K9" i="2"/>
  <c r="J9" i="2"/>
  <c r="N8" i="2"/>
  <c r="N7" i="2" s="1"/>
  <c r="N6" i="2" s="1"/>
  <c r="M8" i="2"/>
  <c r="L8" i="2"/>
  <c r="K8" i="2"/>
  <c r="K7" i="2" s="1"/>
  <c r="K6" i="2" s="1"/>
  <c r="J8" i="2"/>
  <c r="T7" i="2"/>
  <c r="S7" i="2"/>
  <c r="R7" i="2"/>
  <c r="R6" i="2" s="1"/>
  <c r="Q7" i="2"/>
  <c r="Q6" i="2" s="1"/>
  <c r="P7" i="2"/>
  <c r="O7" i="2"/>
  <c r="J7" i="2"/>
  <c r="J6" i="2" s="1"/>
  <c r="I7" i="2"/>
  <c r="I6" i="2" s="1"/>
  <c r="H7" i="2"/>
  <c r="T6" i="2"/>
  <c r="S6" i="2"/>
  <c r="P6" i="2"/>
  <c r="O6" i="2"/>
  <c r="H6" i="2"/>
  <c r="S48" i="1"/>
  <c r="R48" i="1"/>
  <c r="Q48" i="1"/>
  <c r="P48" i="1"/>
  <c r="O48" i="1"/>
  <c r="N48" i="1"/>
  <c r="L46" i="1"/>
  <c r="K46" i="1"/>
  <c r="J46" i="1"/>
  <c r="I46" i="1"/>
  <c r="H46" i="1"/>
  <c r="G46" i="1"/>
  <c r="M44" i="1"/>
  <c r="L44" i="1"/>
  <c r="K44" i="1"/>
  <c r="J44" i="1"/>
  <c r="I44" i="1"/>
  <c r="H44" i="1"/>
  <c r="G44" i="1"/>
  <c r="M42" i="1"/>
  <c r="L42" i="1"/>
  <c r="K42" i="1"/>
  <c r="J42" i="1"/>
  <c r="I42" i="1"/>
  <c r="H42" i="1"/>
  <c r="G42" i="1"/>
  <c r="M40" i="1"/>
  <c r="L40" i="1"/>
  <c r="K40" i="1"/>
  <c r="J40" i="1"/>
  <c r="I40" i="1"/>
  <c r="H40" i="1"/>
  <c r="G40" i="1"/>
  <c r="G33" i="1"/>
  <c r="C33" i="1"/>
  <c r="Q11" i="1"/>
  <c r="G31" i="1"/>
  <c r="C31" i="1"/>
  <c r="G30" i="1"/>
  <c r="C30" i="1"/>
  <c r="G29" i="1"/>
  <c r="C29" i="1"/>
  <c r="G28" i="1"/>
  <c r="C28" i="1"/>
  <c r="L26" i="1"/>
  <c r="K26" i="1"/>
  <c r="J26" i="1"/>
  <c r="I26" i="1"/>
  <c r="H26" i="1"/>
  <c r="G26" i="1"/>
  <c r="M25" i="1"/>
  <c r="L25" i="1"/>
  <c r="K25" i="1"/>
  <c r="J25" i="1"/>
  <c r="I25" i="1"/>
  <c r="H25" i="1"/>
  <c r="G25" i="1"/>
  <c r="M24" i="1"/>
  <c r="T24" i="1" s="1"/>
  <c r="S23" i="1"/>
  <c r="R23" i="1"/>
  <c r="Q23" i="1"/>
  <c r="P23" i="1"/>
  <c r="O23" i="1"/>
  <c r="N23" i="1"/>
  <c r="M22" i="1"/>
  <c r="T22" i="1" s="1"/>
  <c r="D22" i="1"/>
  <c r="M21" i="1"/>
  <c r="T21" i="1" s="1"/>
  <c r="D21" i="1"/>
  <c r="S20" i="1"/>
  <c r="R20" i="1"/>
  <c r="Q20" i="1"/>
  <c r="P20" i="1"/>
  <c r="O20" i="1"/>
  <c r="N20" i="1"/>
  <c r="D19" i="1"/>
  <c r="M18" i="1"/>
  <c r="L18" i="1"/>
  <c r="K18" i="1"/>
  <c r="J18" i="1"/>
  <c r="I18" i="1"/>
  <c r="H18" i="1"/>
  <c r="G18" i="1"/>
  <c r="M17" i="1"/>
  <c r="L17" i="1"/>
  <c r="K17" i="1"/>
  <c r="J17" i="1"/>
  <c r="I17" i="1"/>
  <c r="H17" i="1"/>
  <c r="G17" i="1"/>
  <c r="M16" i="1"/>
  <c r="L16" i="1"/>
  <c r="K16" i="1"/>
  <c r="J16" i="1"/>
  <c r="I16" i="1"/>
  <c r="H16" i="1"/>
  <c r="G16" i="1"/>
  <c r="M13" i="1"/>
  <c r="L13" i="1"/>
  <c r="K13" i="1"/>
  <c r="J13" i="1"/>
  <c r="I13" i="1"/>
  <c r="H13" i="1"/>
  <c r="G13" i="1"/>
  <c r="S35" i="1"/>
  <c r="S53" i="1" s="1"/>
  <c r="R35" i="1"/>
  <c r="Q35" i="1"/>
  <c r="P35" i="1"/>
  <c r="P53" i="1" s="1"/>
  <c r="O35" i="1"/>
  <c r="O53" i="1" s="1"/>
  <c r="N35" i="1"/>
  <c r="L9" i="1"/>
  <c r="K9" i="1"/>
  <c r="J9" i="1"/>
  <c r="I9" i="1"/>
  <c r="H9" i="1"/>
  <c r="G9" i="1"/>
  <c r="I53" i="10" l="1"/>
  <c r="Q94" i="10"/>
  <c r="Q92" i="10" s="1"/>
  <c r="G94" i="10"/>
  <c r="O94" i="10"/>
  <c r="O92" i="10" s="1"/>
  <c r="S94" i="10"/>
  <c r="J62" i="10"/>
  <c r="K62" i="10"/>
  <c r="L53" i="10"/>
  <c r="G100" i="10"/>
  <c r="K32" i="10"/>
  <c r="L41" i="10"/>
  <c r="H53" i="10"/>
  <c r="H39" i="10" s="1"/>
  <c r="H48" i="10"/>
  <c r="L48" i="10"/>
  <c r="P48" i="10"/>
  <c r="I48" i="10"/>
  <c r="Q48" i="10"/>
  <c r="G62" i="10"/>
  <c r="G41" i="10"/>
  <c r="M53" i="10"/>
  <c r="G32" i="10"/>
  <c r="G48" i="10"/>
  <c r="O48" i="10"/>
  <c r="J53" i="10"/>
  <c r="T76" i="10"/>
  <c r="BU27" i="9"/>
  <c r="BT20" i="8"/>
  <c r="BT120" i="8"/>
  <c r="BE168" i="8"/>
  <c r="BE106" i="8" s="1"/>
  <c r="AU17" i="8"/>
  <c r="AU13" i="8" s="1"/>
  <c r="BT136" i="8"/>
  <c r="BT157" i="8"/>
  <c r="BT156" i="8" s="1"/>
  <c r="BT105" i="8" s="1"/>
  <c r="BT170" i="8"/>
  <c r="G12" i="8"/>
  <c r="BT27" i="8"/>
  <c r="BT148" i="8"/>
  <c r="V17" i="8"/>
  <c r="V13" i="8" s="1"/>
  <c r="Q17" i="8"/>
  <c r="Q13" i="8" s="1"/>
  <c r="Q12" i="8" s="1"/>
  <c r="BT19" i="8"/>
  <c r="G108" i="8"/>
  <c r="G104" i="8" s="1"/>
  <c r="G103" i="8" s="1"/>
  <c r="BT158" i="8"/>
  <c r="BT180" i="8"/>
  <c r="BT55" i="7"/>
  <c r="BT137" i="7"/>
  <c r="BT84" i="6"/>
  <c r="BT110" i="6"/>
  <c r="BT131" i="6"/>
  <c r="BT159" i="6"/>
  <c r="BT158" i="6" s="1"/>
  <c r="BT264" i="6"/>
  <c r="AP16" i="6"/>
  <c r="BT52" i="6"/>
  <c r="BT90" i="6"/>
  <c r="BT275" i="6"/>
  <c r="W59" i="5"/>
  <c r="AL59" i="5"/>
  <c r="BF59" i="5"/>
  <c r="W45" i="5"/>
  <c r="W44" i="5" s="1"/>
  <c r="AQ45" i="5"/>
  <c r="BK45" i="5"/>
  <c r="M59" i="5"/>
  <c r="BW104" i="5"/>
  <c r="P70" i="3"/>
  <c r="U70" i="3"/>
  <c r="Y70" i="3"/>
  <c r="BT61" i="3"/>
  <c r="Q70" i="3"/>
  <c r="Q75" i="3" s="1"/>
  <c r="Q79" i="3" s="1"/>
  <c r="BS61" i="3"/>
  <c r="M7" i="2"/>
  <c r="M6" i="2" s="1"/>
  <c r="U14" i="2"/>
  <c r="Z14" i="2" s="1"/>
  <c r="U50" i="2"/>
  <c r="K96" i="2"/>
  <c r="K80" i="2" s="1"/>
  <c r="L7" i="2"/>
  <c r="L6" i="2" s="1"/>
  <c r="U9" i="2"/>
  <c r="Z9" i="2" s="1"/>
  <c r="J30" i="2"/>
  <c r="J75" i="2" s="1"/>
  <c r="J77" i="2" s="1"/>
  <c r="N30" i="2"/>
  <c r="AE115" i="2"/>
  <c r="AE117" i="2" s="1"/>
  <c r="AE119" i="2" s="1"/>
  <c r="P75" i="2"/>
  <c r="P77" i="2" s="1"/>
  <c r="U12" i="2"/>
  <c r="Z12" i="2" s="1"/>
  <c r="M23" i="1"/>
  <c r="J15" i="1"/>
  <c r="J11" i="1" s="1"/>
  <c r="J35" i="1" s="1"/>
  <c r="T25" i="1"/>
  <c r="M20" i="1"/>
  <c r="I48" i="1"/>
  <c r="Q53" i="1"/>
  <c r="L15" i="1"/>
  <c r="L11" i="1" s="1"/>
  <c r="L35" i="1" s="1"/>
  <c r="T17" i="1"/>
  <c r="G48" i="1"/>
  <c r="K48" i="1"/>
  <c r="T42" i="1"/>
  <c r="T44" i="1"/>
  <c r="G15" i="1"/>
  <c r="G11" i="1" s="1"/>
  <c r="G35" i="1" s="1"/>
  <c r="G53" i="1" s="1"/>
  <c r="K15" i="1"/>
  <c r="K11" i="1" s="1"/>
  <c r="K35" i="1" s="1"/>
  <c r="K53" i="1" s="1"/>
  <c r="J48" i="1"/>
  <c r="N53" i="1"/>
  <c r="R53" i="1"/>
  <c r="I15" i="1"/>
  <c r="I11" i="1" s="1"/>
  <c r="I35" i="1" s="1"/>
  <c r="T23" i="1"/>
  <c r="L48" i="1"/>
  <c r="BU59" i="5"/>
  <c r="T16" i="1"/>
  <c r="T18" i="1"/>
  <c r="CB40" i="5"/>
  <c r="CB49" i="5"/>
  <c r="CB53" i="5"/>
  <c r="CB56" i="5"/>
  <c r="H67" i="5"/>
  <c r="AV67" i="5"/>
  <c r="BP67" i="5"/>
  <c r="CB71" i="5"/>
  <c r="CB73" i="5"/>
  <c r="BK67" i="5"/>
  <c r="T102" i="10"/>
  <c r="AG59" i="5"/>
  <c r="T20" i="1"/>
  <c r="AG96" i="5"/>
  <c r="M98" i="5"/>
  <c r="AG98" i="5"/>
  <c r="BU98" i="5"/>
  <c r="M101" i="5"/>
  <c r="AG101" i="5"/>
  <c r="BA101" i="5"/>
  <c r="M103" i="5"/>
  <c r="AG103" i="5"/>
  <c r="BA103" i="5"/>
  <c r="BU103" i="5"/>
  <c r="M104" i="5"/>
  <c r="AG104" i="5"/>
  <c r="BA104" i="5"/>
  <c r="BU104" i="5"/>
  <c r="BK104" i="5"/>
  <c r="AG107" i="5"/>
  <c r="BA107" i="5"/>
  <c r="BU107" i="5"/>
  <c r="W106" i="5"/>
  <c r="R45" i="5"/>
  <c r="R44" i="5" s="1"/>
  <c r="AL45" i="5"/>
  <c r="AL44" i="5" s="1"/>
  <c r="BF45" i="5"/>
  <c r="BF44" i="5" s="1"/>
  <c r="H52" i="5"/>
  <c r="AB52" i="5"/>
  <c r="AV52" i="5"/>
  <c r="BP52" i="5"/>
  <c r="AQ59" i="5"/>
  <c r="BK59" i="5"/>
  <c r="AB59" i="5"/>
  <c r="AV59" i="5"/>
  <c r="BP59" i="5"/>
  <c r="W111" i="5"/>
  <c r="T55" i="10"/>
  <c r="T67" i="10"/>
  <c r="BA59" i="5"/>
  <c r="BA44" i="5" s="1"/>
  <c r="T40" i="1"/>
  <c r="CB27" i="5"/>
  <c r="R102" i="5"/>
  <c r="BF102" i="5"/>
  <c r="AB101" i="5"/>
  <c r="AV101" i="5"/>
  <c r="BP101" i="5"/>
  <c r="M45" i="5"/>
  <c r="M44" i="5" s="1"/>
  <c r="AG45" i="5"/>
  <c r="BU45" i="5"/>
  <c r="BU44" i="5" s="1"/>
  <c r="CB59" i="5"/>
  <c r="BA67" i="5"/>
  <c r="BT33" i="7"/>
  <c r="AP18" i="6"/>
  <c r="AP13" i="6" s="1"/>
  <c r="AA286" i="6"/>
  <c r="AA16" i="6"/>
  <c r="BO286" i="6"/>
  <c r="BO285" i="6" s="1"/>
  <c r="AU19" i="6"/>
  <c r="AU18" i="6" s="1"/>
  <c r="AU13" i="6" s="1"/>
  <c r="S40" i="12"/>
  <c r="S6" i="12"/>
  <c r="T82" i="12" s="1"/>
  <c r="N96" i="2"/>
  <c r="N80" i="2" s="1"/>
  <c r="R83" i="5"/>
  <c r="BU86" i="5"/>
  <c r="W84" i="5"/>
  <c r="BU85" i="5"/>
  <c r="BU88" i="5"/>
  <c r="H23" i="5"/>
  <c r="AA215" i="6"/>
  <c r="AA14" i="6" s="1"/>
  <c r="BT237" i="6"/>
  <c r="BT125" i="6"/>
  <c r="BT231" i="6"/>
  <c r="BJ15" i="6"/>
  <c r="AZ19" i="6"/>
  <c r="AZ18" i="6" s="1"/>
  <c r="AZ13" i="6" s="1"/>
  <c r="BJ19" i="6"/>
  <c r="BJ18" i="6" s="1"/>
  <c r="BJ13" i="6" s="1"/>
  <c r="AU215" i="6"/>
  <c r="AU14" i="6" s="1"/>
  <c r="AF19" i="6"/>
  <c r="AF18" i="6" s="1"/>
  <c r="L19" i="6"/>
  <c r="BO19" i="6"/>
  <c r="BO18" i="6" s="1"/>
  <c r="BO13" i="6" s="1"/>
  <c r="AZ215" i="6"/>
  <c r="AZ14" i="6" s="1"/>
  <c r="G215" i="6"/>
  <c r="G14" i="6" s="1"/>
  <c r="G12" i="6" s="1"/>
  <c r="AP285" i="6"/>
  <c r="BT226" i="6"/>
  <c r="AZ315" i="6"/>
  <c r="AZ16" i="6" s="1"/>
  <c r="BT270" i="6"/>
  <c r="AA122" i="7"/>
  <c r="AF65" i="7"/>
  <c r="AF15" i="7" s="1"/>
  <c r="BO122" i="7"/>
  <c r="V65" i="7"/>
  <c r="BT71" i="7"/>
  <c r="AU122" i="7"/>
  <c r="BT35" i="7"/>
  <c r="BT40" i="7"/>
  <c r="BT68" i="7"/>
  <c r="BT74" i="7"/>
  <c r="L65" i="7"/>
  <c r="L15" i="7" s="1"/>
  <c r="AK65" i="7"/>
  <c r="AK15" i="7" s="1"/>
  <c r="BT86" i="7"/>
  <c r="BT98" i="7"/>
  <c r="L156" i="8"/>
  <c r="L105" i="8" s="1"/>
  <c r="BE104" i="8"/>
  <c r="BT52" i="8"/>
  <c r="BT88" i="8"/>
  <c r="BT18" i="8"/>
  <c r="BT42" i="8"/>
  <c r="BT47" i="8"/>
  <c r="BT74" i="8"/>
  <c r="BT78" i="8"/>
  <c r="BO105" i="8"/>
  <c r="BE156" i="8"/>
  <c r="BE105" i="8" s="1"/>
  <c r="BT22" i="8"/>
  <c r="BT32" i="8"/>
  <c r="BT37" i="8"/>
  <c r="BT83" i="8"/>
  <c r="AP105" i="8"/>
  <c r="V108" i="8"/>
  <c r="AZ108" i="8"/>
  <c r="AZ104" i="8" s="1"/>
  <c r="BT128" i="8"/>
  <c r="BT132" i="8"/>
  <c r="AF156" i="8"/>
  <c r="AF105" i="8" s="1"/>
  <c r="BT140" i="8"/>
  <c r="AU156" i="8"/>
  <c r="AU105" i="8" s="1"/>
  <c r="BT169" i="8"/>
  <c r="BT63" i="8"/>
  <c r="BT14" i="8" s="1"/>
  <c r="BT152" i="8"/>
  <c r="BP54" i="9"/>
  <c r="BP12" i="9"/>
  <c r="AB13" i="9"/>
  <c r="AB58" i="9"/>
  <c r="AV58" i="9"/>
  <c r="BP58" i="9"/>
  <c r="R68" i="9"/>
  <c r="AL68" i="9"/>
  <c r="BF68" i="9"/>
  <c r="AB68" i="9"/>
  <c r="AV68" i="9"/>
  <c r="BP68" i="9"/>
  <c r="M73" i="9"/>
  <c r="AG73" i="9"/>
  <c r="BA73" i="9"/>
  <c r="AV54" i="9"/>
  <c r="AV53" i="9"/>
  <c r="BP55" i="9"/>
  <c r="R58" i="9"/>
  <c r="AL58" i="9"/>
  <c r="BF58" i="9"/>
  <c r="BU17" i="9"/>
  <c r="BU58" i="9" s="1"/>
  <c r="R73" i="9"/>
  <c r="AL73" i="9"/>
  <c r="BF73" i="9"/>
  <c r="X57" i="10"/>
  <c r="Q14" i="10"/>
  <c r="W19" i="10"/>
  <c r="W46" i="10"/>
  <c r="N14" i="10"/>
  <c r="R14" i="10"/>
  <c r="W24" i="10"/>
  <c r="O60" i="10"/>
  <c r="O14" i="10"/>
  <c r="W57" i="10"/>
  <c r="X58" i="10"/>
  <c r="J60" i="10"/>
  <c r="W74" i="10"/>
  <c r="P94" i="10"/>
  <c r="X17" i="10"/>
  <c r="W17" i="10"/>
  <c r="X64" i="10"/>
  <c r="W64" i="10"/>
  <c r="X66" i="10"/>
  <c r="W66" i="10"/>
  <c r="X67" i="10"/>
  <c r="W67" i="10"/>
  <c r="X70" i="10"/>
  <c r="W70" i="10"/>
  <c r="X73" i="10"/>
  <c r="W73" i="10"/>
  <c r="W12" i="10"/>
  <c r="X16" i="10"/>
  <c r="W16" i="10"/>
  <c r="T17" i="10"/>
  <c r="H16" i="10"/>
  <c r="X18" i="10"/>
  <c r="W18" i="10"/>
  <c r="W42" i="10"/>
  <c r="X42" i="10"/>
  <c r="W43" i="10"/>
  <c r="X43" i="10"/>
  <c r="X85" i="10"/>
  <c r="W85" i="10"/>
  <c r="X86" i="10"/>
  <c r="W86" i="10"/>
  <c r="T19" i="10"/>
  <c r="T37" i="10"/>
  <c r="H32" i="10"/>
  <c r="T10" i="10"/>
  <c r="L32" i="10"/>
  <c r="T12" i="10"/>
  <c r="M14" i="10"/>
  <c r="I16" i="10"/>
  <c r="T18" i="10"/>
  <c r="T20" i="10"/>
  <c r="J16" i="10"/>
  <c r="Z34" i="10"/>
  <c r="X45" i="10"/>
  <c r="W45" i="10"/>
  <c r="X49" i="10"/>
  <c r="W49" i="10"/>
  <c r="X51" i="10"/>
  <c r="W51" i="10"/>
  <c r="T42" i="10"/>
  <c r="N60" i="10"/>
  <c r="T64" i="10"/>
  <c r="G92" i="10"/>
  <c r="G88" i="10" s="1"/>
  <c r="M100" i="10"/>
  <c r="N95" i="10"/>
  <c r="I41" i="10"/>
  <c r="M41" i="10"/>
  <c r="T45" i="10"/>
  <c r="J48" i="10"/>
  <c r="N48" i="10"/>
  <c r="R48" i="10"/>
  <c r="T54" i="10"/>
  <c r="S60" i="10"/>
  <c r="H69" i="10"/>
  <c r="T71" i="10"/>
  <c r="X76" i="10"/>
  <c r="W76" i="10"/>
  <c r="X78" i="10"/>
  <c r="W78" i="10"/>
  <c r="T101" i="10"/>
  <c r="K14" i="10"/>
  <c r="T21" i="10"/>
  <c r="W23" i="10"/>
  <c r="W26" i="10"/>
  <c r="J41" i="10"/>
  <c r="K48" i="10"/>
  <c r="S48" i="10"/>
  <c r="T50" i="10"/>
  <c r="G53" i="10"/>
  <c r="G39" i="10" s="1"/>
  <c r="K53" i="10"/>
  <c r="T57" i="10"/>
  <c r="P60" i="10"/>
  <c r="T63" i="10"/>
  <c r="H62" i="10"/>
  <c r="L62" i="10"/>
  <c r="T66" i="10"/>
  <c r="I69" i="10"/>
  <c r="G69" i="10"/>
  <c r="G60" i="10" s="1"/>
  <c r="T70" i="10"/>
  <c r="T74" i="10"/>
  <c r="G84" i="10"/>
  <c r="Q88" i="10"/>
  <c r="S92" i="10"/>
  <c r="K96" i="10"/>
  <c r="J100" i="10"/>
  <c r="W102" i="10"/>
  <c r="T43" i="10"/>
  <c r="X50" i="10"/>
  <c r="R60" i="10"/>
  <c r="X71" i="10"/>
  <c r="T86" i="10"/>
  <c r="I100" i="10"/>
  <c r="J95" i="10"/>
  <c r="L16" i="10"/>
  <c r="I32" i="10"/>
  <c r="M32" i="10"/>
  <c r="K41" i="10"/>
  <c r="Q60" i="10"/>
  <c r="K60" i="10"/>
  <c r="I62" i="10"/>
  <c r="M62" i="10"/>
  <c r="T73" i="10"/>
  <c r="X77" i="10"/>
  <c r="W77" i="10"/>
  <c r="T85" i="10"/>
  <c r="R92" i="10"/>
  <c r="T94" i="10"/>
  <c r="K95" i="10"/>
  <c r="L96" i="10"/>
  <c r="K100" i="10"/>
  <c r="T49" i="10"/>
  <c r="T51" i="10"/>
  <c r="H100" i="10"/>
  <c r="L100" i="10"/>
  <c r="W96" i="10"/>
  <c r="H40" i="9"/>
  <c r="AV40" i="9"/>
  <c r="BA13" i="9"/>
  <c r="BU70" i="9"/>
  <c r="M12" i="9"/>
  <c r="BU75" i="9"/>
  <c r="BU32" i="9"/>
  <c r="BU73" i="9" s="1"/>
  <c r="BU66" i="9"/>
  <c r="R55" i="9"/>
  <c r="R13" i="9"/>
  <c r="AL13" i="9"/>
  <c r="AL55" i="9"/>
  <c r="BF55" i="9"/>
  <c r="BF13" i="9"/>
  <c r="BP40" i="9"/>
  <c r="BP81" i="9" s="1"/>
  <c r="AG13" i="9"/>
  <c r="BU13" i="9"/>
  <c r="W13" i="9"/>
  <c r="AQ13" i="9"/>
  <c r="BK13" i="9"/>
  <c r="BU60" i="9"/>
  <c r="BJ12" i="8"/>
  <c r="BT73" i="8"/>
  <c r="BT15" i="8" s="1"/>
  <c r="AP13" i="8"/>
  <c r="Q14" i="8"/>
  <c r="AK14" i="8"/>
  <c r="AK12" i="8" s="1"/>
  <c r="BE14" i="8"/>
  <c r="BE12" i="8" s="1"/>
  <c r="L17" i="8"/>
  <c r="AF17" i="8"/>
  <c r="AZ17" i="8"/>
  <c r="BT93" i="8"/>
  <c r="AP104" i="8"/>
  <c r="BJ108" i="8"/>
  <c r="Q108" i="8"/>
  <c r="AK108" i="8"/>
  <c r="BT109" i="8"/>
  <c r="AA156" i="8"/>
  <c r="AP106" i="8"/>
  <c r="AA13" i="8"/>
  <c r="BO13" i="8"/>
  <c r="V156" i="8"/>
  <c r="AA168" i="8"/>
  <c r="AU168" i="8"/>
  <c r="BO168" i="8"/>
  <c r="BT168" i="8"/>
  <c r="BT106" i="8" s="1"/>
  <c r="AA15" i="8"/>
  <c r="AU15" i="8"/>
  <c r="BO15" i="8"/>
  <c r="V104" i="8"/>
  <c r="L108" i="8"/>
  <c r="AF108" i="8"/>
  <c r="BT110" i="8"/>
  <c r="AZ156" i="8"/>
  <c r="V106" i="8"/>
  <c r="BJ106" i="8"/>
  <c r="L168" i="8"/>
  <c r="AF168" i="8"/>
  <c r="AZ168" i="8"/>
  <c r="Q156" i="8"/>
  <c r="AK156" i="8"/>
  <c r="Q65" i="7"/>
  <c r="G12" i="7"/>
  <c r="L13" i="7"/>
  <c r="AF13" i="7"/>
  <c r="AZ13" i="7"/>
  <c r="BT18" i="7"/>
  <c r="AA14" i="7"/>
  <c r="AU14" i="7"/>
  <c r="AU16" i="7"/>
  <c r="V122" i="7"/>
  <c r="AP122" i="7"/>
  <c r="BJ122" i="7"/>
  <c r="BT50" i="7"/>
  <c r="BT31" i="7"/>
  <c r="V15" i="7"/>
  <c r="AP65" i="7"/>
  <c r="BJ15" i="7"/>
  <c r="BT80" i="7"/>
  <c r="BO65" i="7"/>
  <c r="BT124" i="7"/>
  <c r="BT127" i="7"/>
  <c r="BT123" i="7"/>
  <c r="BT152" i="7"/>
  <c r="Q122" i="7"/>
  <c r="AK122" i="7"/>
  <c r="BE122" i="7"/>
  <c r="BT125" i="7"/>
  <c r="BT142" i="7"/>
  <c r="BT45" i="7"/>
  <c r="BT60" i="7"/>
  <c r="BT66" i="7"/>
  <c r="BT147" i="7"/>
  <c r="BT51" i="6"/>
  <c r="BT95" i="6"/>
  <c r="BT137" i="6"/>
  <c r="BT192" i="6"/>
  <c r="V215" i="6"/>
  <c r="BJ215" i="6"/>
  <c r="BT252" i="6"/>
  <c r="BT216" i="6"/>
  <c r="BT258" i="6"/>
  <c r="L14" i="6"/>
  <c r="Q19" i="6"/>
  <c r="AK19" i="6"/>
  <c r="BE19" i="6"/>
  <c r="BT20" i="6"/>
  <c r="BT24" i="6"/>
  <c r="V27" i="6"/>
  <c r="V33" i="6"/>
  <c r="V39" i="6"/>
  <c r="Q45" i="6"/>
  <c r="BT46" i="6"/>
  <c r="AA51" i="6"/>
  <c r="Q62" i="6"/>
  <c r="AK62" i="6"/>
  <c r="V73" i="6"/>
  <c r="AF168" i="6"/>
  <c r="BT174" i="6"/>
  <c r="BT221" i="6"/>
  <c r="AK286" i="6"/>
  <c r="V286" i="6"/>
  <c r="BT319" i="6"/>
  <c r="AK163" i="6"/>
  <c r="BT218" i="6"/>
  <c r="L18" i="6"/>
  <c r="V19" i="6"/>
  <c r="BT21" i="6"/>
  <c r="BT28" i="6"/>
  <c r="BT34" i="6"/>
  <c r="BT40" i="6"/>
  <c r="AK173" i="6"/>
  <c r="AF178" i="6"/>
  <c r="AF215" i="6"/>
  <c r="Q286" i="6"/>
  <c r="BT58" i="6"/>
  <c r="BT79" i="6"/>
  <c r="Q153" i="6"/>
  <c r="Q163" i="6"/>
  <c r="AP215" i="6"/>
  <c r="BT335" i="6"/>
  <c r="AA19" i="6"/>
  <c r="BT22" i="6"/>
  <c r="L27" i="6"/>
  <c r="AF27" i="6"/>
  <c r="L33" i="6"/>
  <c r="AF33" i="6"/>
  <c r="L39" i="6"/>
  <c r="AF39" i="6"/>
  <c r="Q51" i="6"/>
  <c r="AK51" i="6"/>
  <c r="Q57" i="6"/>
  <c r="AA62" i="6"/>
  <c r="BT63" i="6"/>
  <c r="BT67" i="6"/>
  <c r="AF73" i="6"/>
  <c r="BT73" i="6"/>
  <c r="BT105" i="6"/>
  <c r="BT115" i="6"/>
  <c r="BT148" i="6"/>
  <c r="BT154" i="6"/>
  <c r="Q158" i="6"/>
  <c r="AK158" i="6"/>
  <c r="BT164" i="6"/>
  <c r="BT219" i="6"/>
  <c r="BT242" i="6"/>
  <c r="BT280" i="6"/>
  <c r="BT300" i="6"/>
  <c r="AU285" i="6"/>
  <c r="BT143" i="6"/>
  <c r="AA158" i="6"/>
  <c r="AA163" i="6"/>
  <c r="BT206" i="6"/>
  <c r="AK215" i="6"/>
  <c r="BE215" i="6"/>
  <c r="AA285" i="6"/>
  <c r="BT294" i="6"/>
  <c r="BT303" i="6"/>
  <c r="BT306" i="6"/>
  <c r="BT316" i="6"/>
  <c r="L315" i="6"/>
  <c r="BT169" i="6"/>
  <c r="BT179" i="6"/>
  <c r="BT297" i="6"/>
  <c r="BT312" i="6"/>
  <c r="V178" i="6"/>
  <c r="BT326" i="6"/>
  <c r="BT332" i="6"/>
  <c r="BT341" i="6"/>
  <c r="BT347" i="6"/>
  <c r="AQ83" i="5"/>
  <c r="BK83" i="5"/>
  <c r="AL83" i="5"/>
  <c r="BF83" i="5"/>
  <c r="AB95" i="5"/>
  <c r="AB24" i="5"/>
  <c r="BA108" i="5"/>
  <c r="BA35" i="5"/>
  <c r="BA106" i="5" s="1"/>
  <c r="W13" i="5"/>
  <c r="R84" i="5"/>
  <c r="AL84" i="5"/>
  <c r="BF84" i="5"/>
  <c r="AQ24" i="5"/>
  <c r="AB98" i="5"/>
  <c r="AV98" i="5"/>
  <c r="BP98" i="5"/>
  <c r="R103" i="5"/>
  <c r="R30" i="5"/>
  <c r="R101" i="5" s="1"/>
  <c r="AL103" i="5"/>
  <c r="AL30" i="5"/>
  <c r="AL101" i="5" s="1"/>
  <c r="BF103" i="5"/>
  <c r="BF30" i="5"/>
  <c r="BF101" i="5" s="1"/>
  <c r="CB32" i="5"/>
  <c r="AQ106" i="5"/>
  <c r="R107" i="5"/>
  <c r="R35" i="5"/>
  <c r="R106" i="5" s="1"/>
  <c r="AL107" i="5"/>
  <c r="AL35" i="5"/>
  <c r="AL106" i="5" s="1"/>
  <c r="BF107" i="5"/>
  <c r="BF35" i="5"/>
  <c r="BF106" i="5" s="1"/>
  <c r="CB36" i="5"/>
  <c r="M111" i="5"/>
  <c r="M39" i="5"/>
  <c r="M110" i="5" s="1"/>
  <c r="AG111" i="5"/>
  <c r="AG39" i="5"/>
  <c r="AG110" i="5" s="1"/>
  <c r="BA111" i="5"/>
  <c r="BA39" i="5"/>
  <c r="BA110" i="5" s="1"/>
  <c r="BU111" i="5"/>
  <c r="BU39" i="5"/>
  <c r="BU110" i="5" s="1"/>
  <c r="H45" i="5"/>
  <c r="H44" i="5" s="1"/>
  <c r="H77" i="5" s="1"/>
  <c r="AB45" i="5"/>
  <c r="AV45" i="5"/>
  <c r="AV44" i="5" s="1"/>
  <c r="BP45" i="5"/>
  <c r="BP44" i="5" s="1"/>
  <c r="AQ44" i="5"/>
  <c r="BK44" i="5"/>
  <c r="CB47" i="5"/>
  <c r="AV95" i="5"/>
  <c r="AV24" i="5"/>
  <c r="M108" i="5"/>
  <c r="M35" i="5"/>
  <c r="M106" i="5" s="1"/>
  <c r="BU108" i="5"/>
  <c r="BU35" i="5"/>
  <c r="BU106" i="5" s="1"/>
  <c r="AB13" i="5"/>
  <c r="AV13" i="5"/>
  <c r="BP13" i="5"/>
  <c r="AQ84" i="5"/>
  <c r="BK84" i="5"/>
  <c r="BU87" i="5"/>
  <c r="BU90" i="5"/>
  <c r="CB20" i="5"/>
  <c r="M94" i="5"/>
  <c r="BA94" i="5"/>
  <c r="R24" i="5"/>
  <c r="AL95" i="5"/>
  <c r="AL24" i="5"/>
  <c r="BF95" i="5"/>
  <c r="BF24" i="5"/>
  <c r="M96" i="5"/>
  <c r="BA96" i="5"/>
  <c r="BU96" i="5"/>
  <c r="AB99" i="5"/>
  <c r="AV99" i="5"/>
  <c r="W102" i="5"/>
  <c r="W30" i="5"/>
  <c r="W101" i="5" s="1"/>
  <c r="AQ102" i="5"/>
  <c r="AQ30" i="5"/>
  <c r="AQ101" i="5" s="1"/>
  <c r="BK102" i="5"/>
  <c r="BK30" i="5"/>
  <c r="BK101" i="5" s="1"/>
  <c r="CB30" i="5"/>
  <c r="CB31" i="5"/>
  <c r="W104" i="5"/>
  <c r="AQ104" i="5"/>
  <c r="BK106" i="5"/>
  <c r="CB35" i="5"/>
  <c r="R95" i="5"/>
  <c r="BU84" i="5"/>
  <c r="AG94" i="5"/>
  <c r="BP95" i="5"/>
  <c r="BP24" i="5"/>
  <c r="AG108" i="5"/>
  <c r="AG35" i="5"/>
  <c r="AG106" i="5" s="1"/>
  <c r="M13" i="5"/>
  <c r="AG13" i="5"/>
  <c r="BA13" i="5"/>
  <c r="BU13" i="5"/>
  <c r="BU91" i="5"/>
  <c r="W24" i="5"/>
  <c r="BK24" i="5"/>
  <c r="BU94" i="5"/>
  <c r="W110" i="5"/>
  <c r="BK110" i="5"/>
  <c r="AV103" i="5"/>
  <c r="BU89" i="5"/>
  <c r="M95" i="5"/>
  <c r="AG95" i="5"/>
  <c r="BA95" i="5"/>
  <c r="BU95" i="5"/>
  <c r="AB96" i="5"/>
  <c r="AV96" i="5"/>
  <c r="BP96" i="5"/>
  <c r="W98" i="5"/>
  <c r="AQ98" i="5"/>
  <c r="BK98" i="5"/>
  <c r="R99" i="5"/>
  <c r="AL99" i="5"/>
  <c r="BF99" i="5"/>
  <c r="AB102" i="5"/>
  <c r="AV102" i="5"/>
  <c r="BP102" i="5"/>
  <c r="W103" i="5"/>
  <c r="AQ103" i="5"/>
  <c r="BK103" i="5"/>
  <c r="R104" i="5"/>
  <c r="AL104" i="5"/>
  <c r="BF104" i="5"/>
  <c r="W107" i="5"/>
  <c r="AQ107" i="5"/>
  <c r="BK107" i="5"/>
  <c r="R108" i="5"/>
  <c r="AL108" i="5"/>
  <c r="BF108" i="5"/>
  <c r="R111" i="5"/>
  <c r="AL111" i="5"/>
  <c r="BF111" i="5"/>
  <c r="CB52" i="5"/>
  <c r="CB72" i="5"/>
  <c r="BW85" i="5"/>
  <c r="AQ111" i="5"/>
  <c r="BW114" i="5"/>
  <c r="BW113" i="5" s="1"/>
  <c r="BW122" i="5"/>
  <c r="M102" i="5"/>
  <c r="AG102" i="5"/>
  <c r="BA102" i="5"/>
  <c r="BU102" i="5"/>
  <c r="AB107" i="5"/>
  <c r="AV107" i="5"/>
  <c r="BP107" i="5"/>
  <c r="W108" i="5"/>
  <c r="AQ108" i="5"/>
  <c r="BK108" i="5"/>
  <c r="R110" i="5"/>
  <c r="AL110" i="5"/>
  <c r="BF110" i="5"/>
  <c r="BF67" i="5"/>
  <c r="BK111" i="5"/>
  <c r="AB111" i="5"/>
  <c r="AV111" i="5"/>
  <c r="BP111" i="5"/>
  <c r="CB68" i="5"/>
  <c r="BV11" i="4"/>
  <c r="BX11" i="4" s="1"/>
  <c r="BV15" i="4"/>
  <c r="BX15" i="4" s="1"/>
  <c r="BV19" i="4"/>
  <c r="BX19" i="4" s="1"/>
  <c r="BV23" i="4"/>
  <c r="BX23" i="4" s="1"/>
  <c r="BV27" i="4"/>
  <c r="BX27" i="4" s="1"/>
  <c r="BV31" i="4"/>
  <c r="BX31" i="4" s="1"/>
  <c r="BV35" i="4"/>
  <c r="BX35" i="4" s="1"/>
  <c r="BV39" i="4"/>
  <c r="BX39" i="4" s="1"/>
  <c r="BV43" i="4"/>
  <c r="BX43" i="4" s="1"/>
  <c r="Z73" i="4"/>
  <c r="Z77" i="4" s="1"/>
  <c r="AE73" i="4"/>
  <c r="AE77" i="4" s="1"/>
  <c r="AX73" i="4"/>
  <c r="AX77" i="4" s="1"/>
  <c r="AB73" i="4"/>
  <c r="AB77" i="4" s="1"/>
  <c r="AO73" i="4"/>
  <c r="AO77" i="4" s="1"/>
  <c r="BH73" i="4"/>
  <c r="BH77" i="4" s="1"/>
  <c r="BV53" i="4"/>
  <c r="BV52" i="4" s="1"/>
  <c r="BV62" i="4"/>
  <c r="BV66" i="4"/>
  <c r="BX66" i="4" s="1"/>
  <c r="BV24" i="4"/>
  <c r="BX24" i="4" s="1"/>
  <c r="BV28" i="4"/>
  <c r="BX28" i="4" s="1"/>
  <c r="BV32" i="4"/>
  <c r="BX32" i="4" s="1"/>
  <c r="BV36" i="4"/>
  <c r="BX36" i="4" s="1"/>
  <c r="BV40" i="4"/>
  <c r="BX40" i="4" s="1"/>
  <c r="BV44" i="4"/>
  <c r="BX44" i="4" s="1"/>
  <c r="V73" i="4"/>
  <c r="V77" i="4" s="1"/>
  <c r="AA73" i="4"/>
  <c r="AA77" i="4" s="1"/>
  <c r="T73" i="4"/>
  <c r="T77" i="4" s="1"/>
  <c r="AG73" i="4"/>
  <c r="AG77" i="4" s="1"/>
  <c r="BI73" i="4"/>
  <c r="BI77" i="4" s="1"/>
  <c r="BV54" i="4"/>
  <c r="BX54" i="4" s="1"/>
  <c r="AH68" i="4"/>
  <c r="BV58" i="4"/>
  <c r="BV60" i="4"/>
  <c r="E73" i="4"/>
  <c r="E77" i="4" s="1"/>
  <c r="N47" i="4"/>
  <c r="BB47" i="4"/>
  <c r="BV9" i="4"/>
  <c r="BX9" i="4" s="1"/>
  <c r="BV13" i="4"/>
  <c r="BX13" i="4" s="1"/>
  <c r="BV17" i="4"/>
  <c r="BX17" i="4" s="1"/>
  <c r="BV21" i="4"/>
  <c r="BX21" i="4" s="1"/>
  <c r="R73" i="4"/>
  <c r="R77" i="4" s="1"/>
  <c r="AL73" i="4"/>
  <c r="AL77" i="4" s="1"/>
  <c r="BV50" i="4"/>
  <c r="BX50" i="4" s="1"/>
  <c r="U73" i="4"/>
  <c r="U77" i="4" s="1"/>
  <c r="AZ73" i="4"/>
  <c r="AZ77" i="4" s="1"/>
  <c r="BE73" i="4"/>
  <c r="BE77" i="4" s="1"/>
  <c r="AR52" i="4"/>
  <c r="BL52" i="4"/>
  <c r="BL68" i="4" s="1"/>
  <c r="BT52" i="4"/>
  <c r="AM59" i="4"/>
  <c r="BV64" i="4"/>
  <c r="BX64" i="4" s="1"/>
  <c r="AH47" i="4"/>
  <c r="BR47" i="4"/>
  <c r="S47" i="4"/>
  <c r="S73" i="4" s="1"/>
  <c r="S77" i="4" s="1"/>
  <c r="BG47" i="4"/>
  <c r="BQ68" i="4"/>
  <c r="BB68" i="4"/>
  <c r="BB73" i="4" s="1"/>
  <c r="BB77" i="4" s="1"/>
  <c r="BV59" i="4"/>
  <c r="BR68" i="4"/>
  <c r="X47" i="4"/>
  <c r="AR47" i="4"/>
  <c r="BL47" i="4"/>
  <c r="BT47" i="4"/>
  <c r="BV8" i="4"/>
  <c r="BX8" i="4" s="1"/>
  <c r="BV12" i="4"/>
  <c r="BX12" i="4" s="1"/>
  <c r="BV16" i="4"/>
  <c r="BX16" i="4" s="1"/>
  <c r="BV20" i="4"/>
  <c r="BX20" i="4" s="1"/>
  <c r="J73" i="4"/>
  <c r="J77" i="4" s="1"/>
  <c r="X68" i="4"/>
  <c r="BU57" i="4"/>
  <c r="BV57" i="4" s="1"/>
  <c r="BX57" i="4" s="1"/>
  <c r="I47" i="4"/>
  <c r="I73" i="4" s="1"/>
  <c r="I77" i="4" s="1"/>
  <c r="AC47" i="4"/>
  <c r="AC73" i="4" s="1"/>
  <c r="AC77" i="4" s="1"/>
  <c r="AW47" i="4"/>
  <c r="AW73" i="4" s="1"/>
  <c r="AW77" i="4" s="1"/>
  <c r="BQ47" i="4"/>
  <c r="BQ73" i="4" s="1"/>
  <c r="BQ77" i="4" s="1"/>
  <c r="BU47" i="4"/>
  <c r="F73" i="4"/>
  <c r="F77" i="4" s="1"/>
  <c r="K73" i="4"/>
  <c r="K77" i="4" s="1"/>
  <c r="O73" i="4"/>
  <c r="O77" i="4" s="1"/>
  <c r="W73" i="4"/>
  <c r="W77" i="4" s="1"/>
  <c r="AT73" i="4"/>
  <c r="AT77" i="4" s="1"/>
  <c r="AY73" i="4"/>
  <c r="AY77" i="4" s="1"/>
  <c r="BC73" i="4"/>
  <c r="BC77" i="4" s="1"/>
  <c r="BV51" i="4"/>
  <c r="BX51" i="4" s="1"/>
  <c r="S52" i="4"/>
  <c r="S68" i="4" s="1"/>
  <c r="AM52" i="4"/>
  <c r="AM68" i="4" s="1"/>
  <c r="AM73" i="4" s="1"/>
  <c r="AM77" i="4" s="1"/>
  <c r="BG52" i="4"/>
  <c r="BG68" i="4" s="1"/>
  <c r="BS52" i="4"/>
  <c r="BS68" i="4" s="1"/>
  <c r="BS73" i="4" s="1"/>
  <c r="BS77" i="4" s="1"/>
  <c r="BV55" i="4"/>
  <c r="BX55" i="4" s="1"/>
  <c r="N57" i="4"/>
  <c r="N68" i="4" s="1"/>
  <c r="N73" i="4" s="1"/>
  <c r="N77" i="4" s="1"/>
  <c r="BV71" i="4"/>
  <c r="BX71" i="4" s="1"/>
  <c r="BF73" i="4"/>
  <c r="BF77" i="4" s="1"/>
  <c r="BJ73" i="4"/>
  <c r="BJ77" i="4" s="1"/>
  <c r="M68" i="4"/>
  <c r="M73" i="4" s="1"/>
  <c r="M77" i="4" s="1"/>
  <c r="BV7" i="4"/>
  <c r="BV25" i="4"/>
  <c r="BX25" i="4" s="1"/>
  <c r="BV29" i="4"/>
  <c r="BX29" i="4" s="1"/>
  <c r="BV33" i="4"/>
  <c r="BX33" i="4" s="1"/>
  <c r="BV37" i="4"/>
  <c r="BX37" i="4" s="1"/>
  <c r="BV41" i="4"/>
  <c r="BX41" i="4" s="1"/>
  <c r="BV45" i="4"/>
  <c r="BX45" i="4" s="1"/>
  <c r="AD73" i="4"/>
  <c r="AD77" i="4" s="1"/>
  <c r="AP73" i="4"/>
  <c r="AP77" i="4" s="1"/>
  <c r="AU73" i="4"/>
  <c r="AU77" i="4" s="1"/>
  <c r="W68" i="4"/>
  <c r="AR68" i="4"/>
  <c r="BT68" i="4"/>
  <c r="BV61" i="4"/>
  <c r="BV63" i="4"/>
  <c r="BV67" i="4"/>
  <c r="BX67" i="4" s="1"/>
  <c r="BV25" i="3"/>
  <c r="BV27" i="3"/>
  <c r="BV41" i="3"/>
  <c r="BV46" i="3"/>
  <c r="P75" i="3"/>
  <c r="P79" i="3" s="1"/>
  <c r="BH75" i="3"/>
  <c r="BH79" i="3" s="1"/>
  <c r="AS70" i="3"/>
  <c r="AS75" i="3" s="1"/>
  <c r="AS79" i="3" s="1"/>
  <c r="BE70" i="3"/>
  <c r="BE75" i="3" s="1"/>
  <c r="BE79" i="3" s="1"/>
  <c r="BS53" i="3"/>
  <c r="AR53" i="3"/>
  <c r="AR70" i="3" s="1"/>
  <c r="BV62" i="3"/>
  <c r="BV67" i="3"/>
  <c r="BS70" i="3"/>
  <c r="BV7" i="3"/>
  <c r="S48" i="3"/>
  <c r="H75" i="3"/>
  <c r="H79" i="3" s="1"/>
  <c r="BV21" i="3"/>
  <c r="BV35" i="3"/>
  <c r="BV38" i="3"/>
  <c r="BV43" i="3"/>
  <c r="L75" i="3"/>
  <c r="L79" i="3" s="1"/>
  <c r="BD75" i="3"/>
  <c r="BD79" i="3" s="1"/>
  <c r="AJ70" i="3"/>
  <c r="AO70" i="3"/>
  <c r="AO75" i="3" s="1"/>
  <c r="AO79" i="3" s="1"/>
  <c r="S53" i="3"/>
  <c r="AM53" i="3"/>
  <c r="BG53" i="3"/>
  <c r="BG70" i="3" s="1"/>
  <c r="BV59" i="3"/>
  <c r="AQ70" i="3"/>
  <c r="AQ75" i="3" s="1"/>
  <c r="AQ79" i="3" s="1"/>
  <c r="AU70" i="3"/>
  <c r="AY70" i="3"/>
  <c r="AY75" i="3" s="1"/>
  <c r="AY79" i="3" s="1"/>
  <c r="BC70" i="3"/>
  <c r="BC75" i="3" s="1"/>
  <c r="BC79" i="3" s="1"/>
  <c r="BK70" i="3"/>
  <c r="BO70" i="3"/>
  <c r="BU61" i="3"/>
  <c r="BV61" i="3" s="1"/>
  <c r="AH48" i="3"/>
  <c r="BV9" i="3"/>
  <c r="BV10" i="3"/>
  <c r="BV13" i="3"/>
  <c r="BV20" i="3"/>
  <c r="BV23" i="3"/>
  <c r="BV37" i="3"/>
  <c r="BV42" i="3"/>
  <c r="AZ75" i="3"/>
  <c r="AZ79" i="3" s="1"/>
  <c r="BV52" i="3"/>
  <c r="T70" i="3"/>
  <c r="AB70" i="3"/>
  <c r="AF70" i="3"/>
  <c r="BM70" i="3"/>
  <c r="BM75" i="3" s="1"/>
  <c r="BM79" i="3" s="1"/>
  <c r="AH53" i="3"/>
  <c r="F70" i="3"/>
  <c r="K70" i="3"/>
  <c r="K75" i="3" s="1"/>
  <c r="K79" i="3" s="1"/>
  <c r="O70" i="3"/>
  <c r="O75" i="3" s="1"/>
  <c r="O79" i="3" s="1"/>
  <c r="W70" i="3"/>
  <c r="AA70" i="3"/>
  <c r="AE70" i="3"/>
  <c r="AI70" i="3"/>
  <c r="AI75" i="3" s="1"/>
  <c r="AI79" i="3" s="1"/>
  <c r="AG70" i="3"/>
  <c r="AG75" i="3" s="1"/>
  <c r="AG79" i="3" s="1"/>
  <c r="AK70" i="3"/>
  <c r="AK75" i="3" s="1"/>
  <c r="AK79" i="3" s="1"/>
  <c r="AW70" i="3"/>
  <c r="G48" i="3"/>
  <c r="G75" i="3" s="1"/>
  <c r="G79" i="3" s="1"/>
  <c r="I7" i="3"/>
  <c r="AJ48" i="3"/>
  <c r="AJ75" i="3" s="1"/>
  <c r="AJ79" i="3" s="1"/>
  <c r="BS14" i="3"/>
  <c r="AM14" i="3"/>
  <c r="BV11" i="3"/>
  <c r="W48" i="3"/>
  <c r="X14" i="3"/>
  <c r="X48" i="3" s="1"/>
  <c r="BU14" i="3"/>
  <c r="BU16" i="3"/>
  <c r="BV16" i="3" s="1"/>
  <c r="AM16" i="3"/>
  <c r="BV18" i="3"/>
  <c r="BV19" i="3"/>
  <c r="BV22" i="3"/>
  <c r="AR48" i="3"/>
  <c r="AR75" i="3" s="1"/>
  <c r="AR79" i="3" s="1"/>
  <c r="BL48" i="3"/>
  <c r="F48" i="3"/>
  <c r="BV15" i="3"/>
  <c r="BV17" i="3"/>
  <c r="Z48" i="3"/>
  <c r="BS28" i="3"/>
  <c r="BS29" i="3"/>
  <c r="BV29" i="3" s="1"/>
  <c r="AC29" i="3"/>
  <c r="I54" i="3"/>
  <c r="I53" i="3" s="1"/>
  <c r="I70" i="3" s="1"/>
  <c r="E53" i="3"/>
  <c r="E70" i="3" s="1"/>
  <c r="BV64" i="3"/>
  <c r="BV8" i="3"/>
  <c r="BV32" i="3"/>
  <c r="BV47" i="3"/>
  <c r="T48" i="3"/>
  <c r="AM61" i="3"/>
  <c r="AM70" i="3" s="1"/>
  <c r="V48" i="3"/>
  <c r="BR28" i="3"/>
  <c r="BV28" i="3" s="1"/>
  <c r="BV34" i="3"/>
  <c r="BV40" i="3"/>
  <c r="AE75" i="3"/>
  <c r="AE79" i="3" s="1"/>
  <c r="AU75" i="3"/>
  <c r="AU79" i="3" s="1"/>
  <c r="BN70" i="3"/>
  <c r="BN75" i="3" s="1"/>
  <c r="BN79" i="3" s="1"/>
  <c r="S70" i="3"/>
  <c r="S75" i="3" s="1"/>
  <c r="S79" i="3" s="1"/>
  <c r="BT53" i="3"/>
  <c r="BV57" i="3"/>
  <c r="BV63" i="3"/>
  <c r="BV69" i="3"/>
  <c r="X70" i="3"/>
  <c r="AW48" i="3"/>
  <c r="AW75" i="3" s="1"/>
  <c r="AW79" i="3" s="1"/>
  <c r="BQ48" i="3"/>
  <c r="BQ75" i="3" s="1"/>
  <c r="BQ79" i="3" s="1"/>
  <c r="AL48" i="3"/>
  <c r="BV26" i="3"/>
  <c r="BV30" i="3"/>
  <c r="BV45" i="3"/>
  <c r="AC70" i="3"/>
  <c r="BV66" i="3"/>
  <c r="N48" i="3"/>
  <c r="BB48" i="3"/>
  <c r="AA48" i="3"/>
  <c r="AA75" i="3" s="1"/>
  <c r="AA79" i="3" s="1"/>
  <c r="E48" i="3"/>
  <c r="E75" i="3" s="1"/>
  <c r="E79" i="3" s="1"/>
  <c r="BG48" i="3"/>
  <c r="BG75" i="3" s="1"/>
  <c r="BG79" i="3" s="1"/>
  <c r="AC10" i="3"/>
  <c r="U75" i="3"/>
  <c r="U79" i="3" s="1"/>
  <c r="Y75" i="3"/>
  <c r="Y79" i="3" s="1"/>
  <c r="BV24" i="3"/>
  <c r="AC28" i="3"/>
  <c r="AF75" i="3"/>
  <c r="AF79" i="3" s="1"/>
  <c r="I39" i="3"/>
  <c r="AV75" i="3"/>
  <c r="AV79" i="3" s="1"/>
  <c r="BK75" i="3"/>
  <c r="BK79" i="3" s="1"/>
  <c r="BO75" i="3"/>
  <c r="BO79" i="3" s="1"/>
  <c r="J70" i="3"/>
  <c r="J75" i="3" s="1"/>
  <c r="J79" i="3" s="1"/>
  <c r="N53" i="3"/>
  <c r="R70" i="3"/>
  <c r="R75" i="3" s="1"/>
  <c r="R79" i="3" s="1"/>
  <c r="BJ70" i="3"/>
  <c r="BJ75" i="3" s="1"/>
  <c r="BJ79" i="3" s="1"/>
  <c r="BL53" i="3"/>
  <c r="BL70" i="3" s="1"/>
  <c r="AH70" i="3"/>
  <c r="AH75" i="3" s="1"/>
  <c r="AH79" i="3" s="1"/>
  <c r="BV55" i="3"/>
  <c r="BV58" i="3"/>
  <c r="BV65" i="3"/>
  <c r="X68" i="3"/>
  <c r="BR68" i="3"/>
  <c r="BV68" i="3" s="1"/>
  <c r="BT31" i="3"/>
  <c r="BT48" i="3" s="1"/>
  <c r="AP70" i="3"/>
  <c r="AP75" i="3" s="1"/>
  <c r="AP79" i="3" s="1"/>
  <c r="AT70" i="3"/>
  <c r="AT75" i="3" s="1"/>
  <c r="AT79" i="3" s="1"/>
  <c r="AX70" i="3"/>
  <c r="AX75" i="3" s="1"/>
  <c r="AX79" i="3" s="1"/>
  <c r="BB70" i="3"/>
  <c r="BF70" i="3"/>
  <c r="BF75" i="3" s="1"/>
  <c r="BF79" i="3" s="1"/>
  <c r="AM34" i="3"/>
  <c r="AM48" i="3" s="1"/>
  <c r="AB75" i="3"/>
  <c r="AB79" i="3" s="1"/>
  <c r="BV51" i="3"/>
  <c r="V70" i="3"/>
  <c r="Z70" i="3"/>
  <c r="AD70" i="3"/>
  <c r="AD75" i="3" s="1"/>
  <c r="AD79" i="3" s="1"/>
  <c r="AL70" i="3"/>
  <c r="BR54" i="3"/>
  <c r="N54" i="3"/>
  <c r="N58" i="3"/>
  <c r="P114" i="2"/>
  <c r="P116" i="2" s="1"/>
  <c r="P140" i="2" s="1"/>
  <c r="P146" i="2" s="1"/>
  <c r="N75" i="2"/>
  <c r="N77" i="2" s="1"/>
  <c r="M75" i="2"/>
  <c r="M77" i="2" s="1"/>
  <c r="U21" i="2"/>
  <c r="R75" i="2"/>
  <c r="R77" i="2" s="1"/>
  <c r="K30" i="2"/>
  <c r="K75" i="2" s="1"/>
  <c r="K77" i="2" s="1"/>
  <c r="K114" i="2" s="1"/>
  <c r="K116" i="2" s="1"/>
  <c r="K140" i="2" s="1"/>
  <c r="K146" i="2" s="1"/>
  <c r="AA50" i="2"/>
  <c r="Z23" i="2"/>
  <c r="U37" i="2"/>
  <c r="Z37" i="2" s="1"/>
  <c r="N118" i="2"/>
  <c r="N117" i="2" s="1"/>
  <c r="N114" i="2"/>
  <c r="N116" i="2" s="1"/>
  <c r="AA8" i="2"/>
  <c r="U8" i="2"/>
  <c r="Z21" i="2"/>
  <c r="I75" i="2"/>
  <c r="I77" i="2" s="1"/>
  <c r="L75" i="2"/>
  <c r="L77" i="2" s="1"/>
  <c r="L114" i="2" s="1"/>
  <c r="L116" i="2" s="1"/>
  <c r="L140" i="2" s="1"/>
  <c r="L146" i="2" s="1"/>
  <c r="U19" i="2"/>
  <c r="Z19" i="2" s="1"/>
  <c r="Z50" i="2"/>
  <c r="S75" i="2"/>
  <c r="S77" i="2" s="1"/>
  <c r="AA12" i="2"/>
  <c r="AA37" i="2"/>
  <c r="AA113" i="2"/>
  <c r="O75" i="2"/>
  <c r="O77" i="2" s="1"/>
  <c r="O114" i="2" s="1"/>
  <c r="O116" i="2" s="1"/>
  <c r="T75" i="2"/>
  <c r="T77" i="2" s="1"/>
  <c r="T114" i="2" s="1"/>
  <c r="T116" i="2" s="1"/>
  <c r="T140" i="2" s="1"/>
  <c r="T146" i="2" s="1"/>
  <c r="Q75" i="2"/>
  <c r="Q77" i="2" s="1"/>
  <c r="Q114" i="2" s="1"/>
  <c r="Q116" i="2" s="1"/>
  <c r="Q140" i="2" s="1"/>
  <c r="Q146" i="2" s="1"/>
  <c r="AA9" i="2"/>
  <c r="U10" i="2"/>
  <c r="Z10" i="2" s="1"/>
  <c r="AA21" i="2"/>
  <c r="AA28" i="2"/>
  <c r="AA23" i="2"/>
  <c r="AA30" i="2"/>
  <c r="H30" i="2"/>
  <c r="U31" i="2"/>
  <c r="U30" i="2" s="1"/>
  <c r="Z32" i="2"/>
  <c r="U64" i="2"/>
  <c r="AA94" i="2"/>
  <c r="R118" i="2"/>
  <c r="R117" i="2" s="1"/>
  <c r="R114" i="2"/>
  <c r="R116" i="2" s="1"/>
  <c r="AA100" i="2"/>
  <c r="I96" i="2"/>
  <c r="U113" i="2"/>
  <c r="M118" i="2"/>
  <c r="M117" i="2" s="1"/>
  <c r="M114" i="2"/>
  <c r="M116" i="2" s="1"/>
  <c r="U120" i="2"/>
  <c r="AA72" i="2"/>
  <c r="J80" i="2"/>
  <c r="O118" i="2"/>
  <c r="O117" i="2" s="1"/>
  <c r="S118" i="2"/>
  <c r="S117" i="2" s="1"/>
  <c r="S114" i="2"/>
  <c r="S116" i="2" s="1"/>
  <c r="K118" i="2"/>
  <c r="K117" i="2" s="1"/>
  <c r="AA131" i="2"/>
  <c r="AA122" i="2"/>
  <c r="T13" i="1"/>
  <c r="H48" i="1"/>
  <c r="H15" i="1"/>
  <c r="H11" i="1" s="1"/>
  <c r="H35" i="1" s="1"/>
  <c r="L39" i="10" l="1"/>
  <c r="BT17" i="8"/>
  <c r="BT13" i="8" s="1"/>
  <c r="BT12" i="8"/>
  <c r="AB44" i="5"/>
  <c r="AG44" i="5"/>
  <c r="AM75" i="3"/>
  <c r="AM79" i="3" s="1"/>
  <c r="BU70" i="3"/>
  <c r="BT70" i="3"/>
  <c r="BT75" i="3" s="1"/>
  <c r="BT79" i="3" s="1"/>
  <c r="T75" i="3"/>
  <c r="T79" i="3" s="1"/>
  <c r="W75" i="3"/>
  <c r="W79" i="3" s="1"/>
  <c r="S140" i="2"/>
  <c r="S146" i="2" s="1"/>
  <c r="O140" i="2"/>
  <c r="O146" i="2" s="1"/>
  <c r="J53" i="1"/>
  <c r="L53" i="1"/>
  <c r="I53" i="1"/>
  <c r="BA23" i="5"/>
  <c r="BA93" i="5" s="1"/>
  <c r="BW84" i="5"/>
  <c r="AP15" i="6"/>
  <c r="AA16" i="7"/>
  <c r="AA12" i="7"/>
  <c r="BO16" i="7"/>
  <c r="BE103" i="8"/>
  <c r="AB54" i="9"/>
  <c r="AB12" i="9"/>
  <c r="AB40" i="9" s="1"/>
  <c r="AB81" i="9" s="1"/>
  <c r="BP53" i="9"/>
  <c r="AV81" i="9"/>
  <c r="AB53" i="9"/>
  <c r="W14" i="10"/>
  <c r="X14" i="10"/>
  <c r="P92" i="10"/>
  <c r="P88" i="10" s="1"/>
  <c r="J14" i="10"/>
  <c r="H14" i="10"/>
  <c r="G34" i="10"/>
  <c r="W95" i="10"/>
  <c r="K94" i="10"/>
  <c r="R88" i="10"/>
  <c r="I60" i="10"/>
  <c r="I92" i="10"/>
  <c r="T62" i="10"/>
  <c r="T100" i="10"/>
  <c r="X63" i="10"/>
  <c r="W63" i="10"/>
  <c r="N94" i="10"/>
  <c r="X37" i="10"/>
  <c r="W37" i="10"/>
  <c r="T32" i="10"/>
  <c r="T48" i="10"/>
  <c r="L94" i="10"/>
  <c r="S88" i="10"/>
  <c r="Q84" i="10"/>
  <c r="J39" i="10"/>
  <c r="H92" i="10"/>
  <c r="W55" i="10"/>
  <c r="X55" i="10"/>
  <c r="M92" i="10"/>
  <c r="W41" i="10"/>
  <c r="X41" i="10"/>
  <c r="M60" i="10"/>
  <c r="W54" i="10"/>
  <c r="X54" i="10"/>
  <c r="L60" i="10"/>
  <c r="T53" i="10"/>
  <c r="M39" i="10"/>
  <c r="T41" i="10"/>
  <c r="T16" i="10"/>
  <c r="X10" i="10"/>
  <c r="W10" i="10"/>
  <c r="K39" i="10"/>
  <c r="L14" i="10"/>
  <c r="J94" i="10"/>
  <c r="O88" i="10"/>
  <c r="T69" i="10"/>
  <c r="H60" i="10"/>
  <c r="X87" i="10"/>
  <c r="W87" i="10"/>
  <c r="I39" i="10"/>
  <c r="W48" i="10"/>
  <c r="X48" i="10"/>
  <c r="X69" i="10"/>
  <c r="W69" i="10"/>
  <c r="I14" i="10"/>
  <c r="AQ12" i="9"/>
  <c r="AQ54" i="9"/>
  <c r="AG54" i="9"/>
  <c r="AG12" i="9"/>
  <c r="BF12" i="9"/>
  <c r="BF54" i="9"/>
  <c r="R12" i="9"/>
  <c r="R54" i="9"/>
  <c r="BK54" i="9"/>
  <c r="BK12" i="9"/>
  <c r="BU54" i="9"/>
  <c r="BU12" i="9"/>
  <c r="BU68" i="9"/>
  <c r="AL12" i="9"/>
  <c r="AL54" i="9"/>
  <c r="BA54" i="9"/>
  <c r="BA12" i="9"/>
  <c r="W12" i="9"/>
  <c r="W54" i="9"/>
  <c r="M40" i="9"/>
  <c r="M81" i="9" s="1"/>
  <c r="M53" i="9"/>
  <c r="Q105" i="8"/>
  <c r="L104" i="8"/>
  <c r="AP103" i="8"/>
  <c r="AZ13" i="8"/>
  <c r="AF106" i="8"/>
  <c r="BO106" i="8"/>
  <c r="AA106" i="8"/>
  <c r="Q104" i="8"/>
  <c r="AF13" i="8"/>
  <c r="AP12" i="8"/>
  <c r="AF104" i="8"/>
  <c r="BO12" i="8"/>
  <c r="AA105" i="8"/>
  <c r="BT108" i="8"/>
  <c r="BT104" i="8" s="1"/>
  <c r="BT103" i="8" s="1"/>
  <c r="L13" i="8"/>
  <c r="V12" i="8"/>
  <c r="AU12" i="8"/>
  <c r="AK105" i="8"/>
  <c r="AZ106" i="8"/>
  <c r="L106" i="8"/>
  <c r="AZ105" i="8"/>
  <c r="AU106" i="8"/>
  <c r="V105" i="8"/>
  <c r="AA12" i="8"/>
  <c r="AK104" i="8"/>
  <c r="BJ104" i="8"/>
  <c r="BJ16" i="7"/>
  <c r="AZ12" i="7"/>
  <c r="L12" i="7"/>
  <c r="AU12" i="7"/>
  <c r="Q15" i="7"/>
  <c r="BT65" i="7"/>
  <c r="BE16" i="7"/>
  <c r="Q16" i="7"/>
  <c r="BT122" i="7"/>
  <c r="BJ12" i="7"/>
  <c r="V16" i="7"/>
  <c r="BO15" i="7"/>
  <c r="AP16" i="7"/>
  <c r="AF12" i="7"/>
  <c r="AK16" i="7"/>
  <c r="AP15" i="7"/>
  <c r="BT30" i="7"/>
  <c r="BT13" i="7"/>
  <c r="BT178" i="6"/>
  <c r="AA15" i="6"/>
  <c r="BT153" i="6"/>
  <c r="Q285" i="6"/>
  <c r="AF14" i="6"/>
  <c r="BT33" i="6"/>
  <c r="Q18" i="6"/>
  <c r="V14" i="6"/>
  <c r="AA18" i="6"/>
  <c r="AP14" i="6"/>
  <c r="V18" i="6"/>
  <c r="AK285" i="6"/>
  <c r="BT45" i="6"/>
  <c r="BO15" i="6"/>
  <c r="BO12" i="6" s="1"/>
  <c r="L286" i="6"/>
  <c r="L16" i="6"/>
  <c r="BE14" i="6"/>
  <c r="AU15" i="6"/>
  <c r="BT57" i="6"/>
  <c r="BT19" i="6"/>
  <c r="BT39" i="6"/>
  <c r="BT27" i="6"/>
  <c r="AF13" i="6"/>
  <c r="V285" i="6"/>
  <c r="BT173" i="6"/>
  <c r="BE18" i="6"/>
  <c r="BJ14" i="6"/>
  <c r="AZ12" i="6"/>
  <c r="BT168" i="6"/>
  <c r="BT315" i="6"/>
  <c r="AK14" i="6"/>
  <c r="BT163" i="6"/>
  <c r="BT62" i="6"/>
  <c r="L13" i="6"/>
  <c r="AK18" i="6"/>
  <c r="BT215" i="6"/>
  <c r="BK94" i="5"/>
  <c r="BK23" i="5"/>
  <c r="BA83" i="5"/>
  <c r="BA77" i="5"/>
  <c r="BF94" i="5"/>
  <c r="BF23" i="5"/>
  <c r="R94" i="5"/>
  <c r="R23" i="5"/>
  <c r="BU101" i="5"/>
  <c r="AQ94" i="5"/>
  <c r="AQ23" i="5"/>
  <c r="W83" i="5"/>
  <c r="W94" i="5"/>
  <c r="W23" i="5"/>
  <c r="W93" i="5" s="1"/>
  <c r="AG83" i="5"/>
  <c r="BP94" i="5"/>
  <c r="BP23" i="5"/>
  <c r="BP93" i="5" s="1"/>
  <c r="AG23" i="5"/>
  <c r="AG93" i="5" s="1"/>
  <c r="M23" i="5"/>
  <c r="M93" i="5" s="1"/>
  <c r="BP83" i="5"/>
  <c r="AV94" i="5"/>
  <c r="AV23" i="5"/>
  <c r="AV93" i="5" s="1"/>
  <c r="M83" i="5"/>
  <c r="AL94" i="5"/>
  <c r="AL23" i="5"/>
  <c r="CB14" i="5"/>
  <c r="AV83" i="5"/>
  <c r="CB45" i="5"/>
  <c r="CB44" i="5"/>
  <c r="CB24" i="5"/>
  <c r="CB23" i="5"/>
  <c r="BU83" i="5"/>
  <c r="BU23" i="5"/>
  <c r="AB83" i="5"/>
  <c r="AB94" i="5"/>
  <c r="AB23" i="5"/>
  <c r="AB93" i="5" s="1"/>
  <c r="BX53" i="4"/>
  <c r="AH73" i="4"/>
  <c r="AH77" i="4" s="1"/>
  <c r="BU68" i="4"/>
  <c r="BU73" i="4" s="1"/>
  <c r="BU77" i="4" s="1"/>
  <c r="AR73" i="4"/>
  <c r="AR77" i="4" s="1"/>
  <c r="X73" i="4"/>
  <c r="X77" i="4" s="1"/>
  <c r="BX52" i="4"/>
  <c r="BV68" i="4"/>
  <c r="BX68" i="4" s="1"/>
  <c r="BG73" i="4"/>
  <c r="BG77" i="4" s="1"/>
  <c r="BR73" i="4"/>
  <c r="BR77" i="4" s="1"/>
  <c r="BV47" i="4"/>
  <c r="BX7" i="4"/>
  <c r="BL73" i="4"/>
  <c r="BL77" i="4" s="1"/>
  <c r="BT73" i="4"/>
  <c r="BT77" i="4" s="1"/>
  <c r="AC48" i="3"/>
  <c r="AC75" i="3" s="1"/>
  <c r="AC79" i="3" s="1"/>
  <c r="AL75" i="3"/>
  <c r="AL79" i="3" s="1"/>
  <c r="BS48" i="3"/>
  <c r="BS75" i="3" s="1"/>
  <c r="BS79" i="3" s="1"/>
  <c r="F75" i="3"/>
  <c r="F79" i="3" s="1"/>
  <c r="BU48" i="3"/>
  <c r="BU75" i="3" s="1"/>
  <c r="BU79" i="3" s="1"/>
  <c r="BV31" i="3"/>
  <c r="BR48" i="3"/>
  <c r="X75" i="3"/>
  <c r="X79" i="3" s="1"/>
  <c r="BV14" i="3"/>
  <c r="BV48" i="3" s="1"/>
  <c r="BV54" i="3"/>
  <c r="BR53" i="3"/>
  <c r="BR70" i="3" s="1"/>
  <c r="N70" i="3"/>
  <c r="N75" i="3" s="1"/>
  <c r="N79" i="3" s="1"/>
  <c r="V75" i="3"/>
  <c r="V79" i="3" s="1"/>
  <c r="Z75" i="3"/>
  <c r="Z79" i="3" s="1"/>
  <c r="I48" i="3"/>
  <c r="I75" i="3" s="1"/>
  <c r="I79" i="3" s="1"/>
  <c r="BB75" i="3"/>
  <c r="BB79" i="3" s="1"/>
  <c r="BL75" i="3"/>
  <c r="BL79" i="3" s="1"/>
  <c r="Z31" i="2"/>
  <c r="U96" i="2"/>
  <c r="U80" i="2" s="1"/>
  <c r="I80" i="2"/>
  <c r="M140" i="2"/>
  <c r="M146" i="2" s="1"/>
  <c r="R140" i="2"/>
  <c r="R146" i="2" s="1"/>
  <c r="N140" i="2"/>
  <c r="N146" i="2" s="1"/>
  <c r="J118" i="2"/>
  <c r="J117" i="2" s="1"/>
  <c r="J114" i="2"/>
  <c r="J116" i="2" s="1"/>
  <c r="AA120" i="2"/>
  <c r="Z30" i="2"/>
  <c r="AA31" i="2"/>
  <c r="U7" i="2"/>
  <c r="Z8" i="2"/>
  <c r="H75" i="2"/>
  <c r="H77" i="2" s="1"/>
  <c r="H114" i="2" s="1"/>
  <c r="H53" i="1"/>
  <c r="J140" i="2" l="1"/>
  <c r="J146" i="2" s="1"/>
  <c r="BP77" i="5"/>
  <c r="V12" i="7"/>
  <c r="T92" i="10"/>
  <c r="T88" i="10" s="1"/>
  <c r="W53" i="10"/>
  <c r="X53" i="10"/>
  <c r="P84" i="10"/>
  <c r="S84" i="10"/>
  <c r="K92" i="10"/>
  <c r="W94" i="10"/>
  <c r="J92" i="10"/>
  <c r="X32" i="10"/>
  <c r="W32" i="10"/>
  <c r="Q34" i="10"/>
  <c r="L92" i="10"/>
  <c r="O84" i="10"/>
  <c r="X39" i="10"/>
  <c r="W39" i="10"/>
  <c r="M88" i="10"/>
  <c r="H88" i="10"/>
  <c r="N92" i="10"/>
  <c r="T14" i="10"/>
  <c r="R84" i="10"/>
  <c r="T39" i="10"/>
  <c r="X62" i="10"/>
  <c r="W62" i="10"/>
  <c r="T60" i="10"/>
  <c r="I88" i="10"/>
  <c r="W40" i="9"/>
  <c r="W81" i="9" s="1"/>
  <c r="W53" i="9"/>
  <c r="BA40" i="9"/>
  <c r="BA81" i="9" s="1"/>
  <c r="BA53" i="9"/>
  <c r="BK40" i="9"/>
  <c r="BK81" i="9" s="1"/>
  <c r="BK53" i="9"/>
  <c r="AG40" i="9"/>
  <c r="AG81" i="9" s="1"/>
  <c r="AG53" i="9"/>
  <c r="AL53" i="9"/>
  <c r="R53" i="9"/>
  <c r="R40" i="9"/>
  <c r="R81" i="9" s="1"/>
  <c r="BU53" i="9"/>
  <c r="BF53" i="9"/>
  <c r="BF40" i="9"/>
  <c r="BF81" i="9" s="1"/>
  <c r="AQ40" i="9"/>
  <c r="AQ81" i="9" s="1"/>
  <c r="AQ53" i="9"/>
  <c r="BJ103" i="8"/>
  <c r="Q103" i="8"/>
  <c r="BO103" i="8"/>
  <c r="AZ12" i="8"/>
  <c r="AU103" i="8"/>
  <c r="L12" i="8"/>
  <c r="AF103" i="8"/>
  <c r="AF12" i="8"/>
  <c r="AK103" i="8"/>
  <c r="AA103" i="8"/>
  <c r="V103" i="8"/>
  <c r="AZ103" i="8"/>
  <c r="L103" i="8"/>
  <c r="AK12" i="7"/>
  <c r="Q12" i="7"/>
  <c r="BT15" i="7"/>
  <c r="BO12" i="7"/>
  <c r="BT16" i="7"/>
  <c r="AP12" i="7"/>
  <c r="BT14" i="7"/>
  <c r="BE12" i="7"/>
  <c r="BT14" i="6"/>
  <c r="AK13" i="6"/>
  <c r="AF12" i="6"/>
  <c r="AP12" i="6"/>
  <c r="L285" i="6"/>
  <c r="V13" i="6"/>
  <c r="AA13" i="6"/>
  <c r="BT286" i="6"/>
  <c r="BT18" i="6"/>
  <c r="BJ12" i="6"/>
  <c r="AU12" i="6"/>
  <c r="Q15" i="6"/>
  <c r="BE13" i="6"/>
  <c r="V15" i="6"/>
  <c r="AK15" i="6"/>
  <c r="Q13" i="6"/>
  <c r="AL93" i="5"/>
  <c r="BU93" i="5"/>
  <c r="AV77" i="5"/>
  <c r="R93" i="5"/>
  <c r="CB13" i="5"/>
  <c r="AQ93" i="5"/>
  <c r="AQ77" i="5"/>
  <c r="BF93" i="5"/>
  <c r="BF77" i="5"/>
  <c r="BK93" i="5"/>
  <c r="BK77" i="5"/>
  <c r="BW83" i="5"/>
  <c r="BW82" i="5" s="1"/>
  <c r="BW81" i="5" s="1"/>
  <c r="BW147" i="5" s="1"/>
  <c r="BV73" i="4"/>
  <c r="BX47" i="4"/>
  <c r="BR75" i="3"/>
  <c r="BR79" i="3" s="1"/>
  <c r="BV53" i="3"/>
  <c r="U6" i="2"/>
  <c r="Z7" i="2"/>
  <c r="I118" i="2"/>
  <c r="I117" i="2" s="1"/>
  <c r="I114" i="2"/>
  <c r="I116" i="2" s="1"/>
  <c r="U118" i="2"/>
  <c r="U117" i="2" s="1"/>
  <c r="H116" i="2"/>
  <c r="AA7" i="2"/>
  <c r="AA96" i="2"/>
  <c r="AD94" i="2"/>
  <c r="AD115" i="2" s="1"/>
  <c r="I140" i="2" l="1"/>
  <c r="I146" i="2" s="1"/>
  <c r="BT12" i="7"/>
  <c r="W60" i="10"/>
  <c r="X60" i="10"/>
  <c r="M84" i="10"/>
  <c r="K88" i="10"/>
  <c r="P34" i="10"/>
  <c r="T84" i="10"/>
  <c r="T34" i="10" s="1"/>
  <c r="L88" i="10"/>
  <c r="S34" i="10"/>
  <c r="N88" i="10"/>
  <c r="H84" i="10"/>
  <c r="J88" i="10"/>
  <c r="I84" i="10"/>
  <c r="R34" i="10"/>
  <c r="O34" i="10"/>
  <c r="X92" i="10"/>
  <c r="W92" i="10"/>
  <c r="BT13" i="6"/>
  <c r="AA12" i="6"/>
  <c r="BT285" i="6"/>
  <c r="V12" i="6"/>
  <c r="L15" i="6"/>
  <c r="AK12" i="6"/>
  <c r="Q12" i="6"/>
  <c r="BE12" i="6"/>
  <c r="BX73" i="4"/>
  <c r="BV77" i="4"/>
  <c r="BX77" i="4" s="1"/>
  <c r="BV70" i="3"/>
  <c r="AA75" i="2"/>
  <c r="AA80" i="2"/>
  <c r="AA77" i="2"/>
  <c r="U75" i="2"/>
  <c r="U77" i="2" s="1"/>
  <c r="U114" i="2" s="1"/>
  <c r="U116" i="2" s="1"/>
  <c r="U140" i="2" s="1"/>
  <c r="U146" i="2" s="1"/>
  <c r="Z6" i="2"/>
  <c r="H34" i="10" l="1"/>
  <c r="M34" i="10"/>
  <c r="J84" i="10"/>
  <c r="I34" i="10"/>
  <c r="L84" i="10"/>
  <c r="X88" i="10"/>
  <c r="W88" i="10"/>
  <c r="N84" i="10"/>
  <c r="K84" i="10"/>
  <c r="L12" i="6"/>
  <c r="BT15" i="6"/>
  <c r="BV75" i="3"/>
  <c r="AA114" i="2"/>
  <c r="AA116" i="2"/>
  <c r="AA118" i="2"/>
  <c r="AA117" i="2"/>
  <c r="N34" i="10" l="1"/>
  <c r="K34" i="10"/>
  <c r="L34" i="10"/>
  <c r="J34" i="10"/>
  <c r="X84" i="10"/>
  <c r="W84" i="10"/>
  <c r="BT12" i="6"/>
  <c r="BV79" i="3"/>
  <c r="W34" i="10" l="1"/>
  <c r="X34" i="10"/>
  <c r="AE135" i="2"/>
  <c r="AA146" i="2"/>
  <c r="AE132" i="2"/>
  <c r="AE133" i="2" s="1"/>
  <c r="AA140" i="2"/>
  <c r="M9" i="1" l="1"/>
  <c r="T9" i="1" l="1"/>
  <c r="R75" i="5" l="1"/>
  <c r="R67" i="5" s="1"/>
  <c r="W75" i="5"/>
  <c r="W67" i="5" s="1"/>
  <c r="W77" i="5" s="1"/>
  <c r="AG75" i="5"/>
  <c r="AG67" i="5" s="1"/>
  <c r="AG77" i="5" s="1"/>
  <c r="M26" i="1"/>
  <c r="AB75" i="5" l="1"/>
  <c r="AB67" i="5" s="1"/>
  <c r="AB77" i="5" s="1"/>
  <c r="T26" i="1"/>
  <c r="T15" i="1" s="1"/>
  <c r="M15" i="1"/>
  <c r="M11" i="1" s="1"/>
  <c r="M35" i="1" s="1"/>
  <c r="M75" i="5"/>
  <c r="M67" i="5" s="1"/>
  <c r="M77" i="5" s="1"/>
  <c r="R77" i="5"/>
  <c r="T11" i="1" l="1"/>
  <c r="T35" i="1" s="1"/>
  <c r="CB75" i="5" l="1"/>
  <c r="CB67" i="5" l="1"/>
  <c r="CB77" i="5"/>
  <c r="AL38" i="9" l="1"/>
  <c r="AL79" i="9" l="1"/>
  <c r="BU38" i="9"/>
  <c r="AL40" i="9"/>
  <c r="AL81" i="9" s="1"/>
  <c r="AL75" i="5"/>
  <c r="AL67" i="5" s="1"/>
  <c r="AL77" i="5" s="1"/>
  <c r="BU40" i="9" l="1"/>
  <c r="BU81" i="9" s="1"/>
  <c r="BU79" i="9"/>
  <c r="M46" i="1"/>
  <c r="BU75" i="5"/>
  <c r="BU67" i="5" s="1"/>
  <c r="BU77" i="5" s="1"/>
  <c r="T46" i="1" l="1"/>
  <c r="T48" i="1" s="1"/>
  <c r="T53" i="1" s="1"/>
  <c r="M48" i="1"/>
  <c r="M53" i="1" s="1"/>
</calcChain>
</file>

<file path=xl/sharedStrings.xml><?xml version="1.0" encoding="utf-8"?>
<sst xmlns="http://schemas.openxmlformats.org/spreadsheetml/2006/main" count="1548" uniqueCount="643">
  <si>
    <t>The statement of actual revenue, expenditure and borrowings with regard to the National Revenue Fund as at the end of September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</si>
  <si>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</si>
  <si>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30 September 2020</t>
  </si>
  <si>
    <t>2020/21</t>
  </si>
  <si>
    <t>2019/20</t>
  </si>
  <si>
    <t>Revised</t>
  </si>
  <si>
    <t>April</t>
  </si>
  <si>
    <t>May</t>
  </si>
  <si>
    <t>June</t>
  </si>
  <si>
    <t>July</t>
  </si>
  <si>
    <t>August</t>
  </si>
  <si>
    <t>September</t>
  </si>
  <si>
    <t>October</t>
  </si>
  <si>
    <t>November</t>
  </si>
  <si>
    <t>December</t>
  </si>
  <si>
    <t>January</t>
  </si>
  <si>
    <t>February</t>
  </si>
  <si>
    <t>March</t>
  </si>
  <si>
    <t>Year to date</t>
  </si>
  <si>
    <t>Preliminary</t>
  </si>
  <si>
    <t>R thousand</t>
  </si>
  <si>
    <t>Table</t>
  </si>
  <si>
    <t>estimate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</si>
  <si>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</si>
  <si>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</si>
  <si>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</si>
  <si>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</si>
  <si>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</si>
  <si>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</si>
  <si>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</si>
  <si>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</si>
  <si>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</si>
  <si>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Skill Levy and SETAs</t>
  </si>
  <si>
    <t>Other costs</t>
  </si>
  <si>
    <t>Main budget balance</t>
  </si>
  <si>
    <t>Financing of the net borrowing requirement</t>
  </si>
  <si>
    <t>Domestic short-term loans (net)</t>
  </si>
  <si>
    <t>Domestic long-term loans (net)</t>
  </si>
  <si>
    <t>Foreign loans (net)</t>
  </si>
  <si>
    <t>Total financing (net)</t>
  </si>
  <si>
    <t>1) A negative value indicates an increase in cash and other balances. A positive value indicates that cash is used to finance part of the borrowing requirement.</t>
  </si>
  <si>
    <t xml:space="preserve">2) Unaudited </t>
  </si>
  <si>
    <t>COMPILED BY: Phindile Dhlame</t>
  </si>
  <si>
    <t xml:space="preserve">REVIEWED: Suzan Molokwane </t>
  </si>
  <si>
    <t>DATE:</t>
  </si>
  <si>
    <r>
      <t>Change in cash and other balances</t>
    </r>
    <r>
      <rPr>
        <b/>
        <vertAlign val="superscript"/>
        <sz val="10"/>
        <rFont val="Arial Narrow"/>
        <family val="2"/>
      </rPr>
      <t>1</t>
    </r>
  </si>
  <si>
    <t>Table 1 Revenue*</t>
  </si>
  <si>
    <t>outcome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</si>
  <si>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</si>
  <si>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</si>
  <si>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</si>
  <si>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</si>
  <si>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</si>
  <si>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</si>
  <si>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</si>
  <si>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</si>
  <si>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</si>
  <si>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</si>
  <si>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</si>
  <si>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</si>
  <si>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</si>
  <si>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</si>
  <si>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</si>
  <si>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</si>
  <si>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</si>
  <si>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</si>
  <si>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</si>
  <si>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</si>
  <si>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</si>
  <si>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</si>
  <si>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</si>
  <si>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</si>
  <si>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</si>
  <si>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</si>
  <si>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</si>
  <si>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</si>
  <si>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</si>
  <si>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</si>
  <si>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</si>
  <si>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</si>
  <si>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</si>
  <si>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</si>
  <si>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</si>
  <si>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</si>
  <si>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</si>
  <si>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</si>
  <si>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</si>
  <si>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</si>
  <si>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</si>
  <si>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</si>
  <si>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</si>
  <si>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</si>
  <si>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</si>
  <si>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</si>
  <si>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</si>
  <si>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</si>
  <si>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</si>
  <si>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</si>
  <si>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</si>
  <si>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</si>
  <si>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</si>
  <si>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</si>
  <si>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</si>
  <si>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</si>
  <si>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</si>
  <si>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</si>
  <si>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</si>
  <si>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</si>
  <si>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</si>
  <si>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</si>
  <si>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</si>
  <si>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</si>
  <si>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</si>
  <si>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</si>
  <si>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</si>
  <si>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</si>
  <si>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</si>
  <si>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</si>
  <si>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</si>
  <si>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</si>
  <si>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</si>
  <si>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</si>
  <si>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</si>
  <si>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</si>
  <si>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</si>
  <si>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</si>
  <si>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</si>
  <si>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</si>
  <si>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</si>
  <si>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</si>
  <si>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</si>
  <si>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</si>
  <si>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</si>
  <si>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</si>
  <si>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</si>
  <si>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</si>
  <si>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</si>
  <si>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</si>
  <si>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</si>
  <si>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</si>
  <si>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</si>
  <si>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</si>
  <si>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</si>
  <si>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</si>
  <si>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</si>
  <si>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</si>
  <si>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</si>
  <si>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</si>
  <si>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</si>
  <si>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</si>
  <si>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</si>
  <si>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</si>
  <si>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</si>
  <si>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</si>
  <si>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</si>
  <si>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</si>
  <si>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</si>
  <si>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</si>
  <si>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</si>
  <si>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</si>
  <si>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</si>
  <si>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</si>
  <si>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</si>
  <si>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</si>
  <si>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</si>
  <si>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</si>
  <si>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</si>
  <si>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</si>
  <si>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</si>
  <si>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</si>
  <si>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</si>
  <si>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</si>
  <si>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</si>
  <si>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</si>
  <si>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</si>
  <si>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</si>
  <si>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National Library</t>
  </si>
  <si>
    <t>departmental revenue</t>
  </si>
  <si>
    <t xml:space="preserve">  Refund Police</t>
  </si>
  <si>
    <t>nrf receipts</t>
  </si>
  <si>
    <t xml:space="preserve">  Refund Correctional Services</t>
  </si>
  <si>
    <t>cara payment</t>
  </si>
  <si>
    <t xml:space="preserve">  Trifecta Judgement (National Treasury)</t>
  </si>
  <si>
    <t>cara receipts</t>
  </si>
  <si>
    <t xml:space="preserve">  DTI Various entities</t>
  </si>
  <si>
    <t>total revenue collected</t>
  </si>
  <si>
    <t xml:space="preserve">  Defence</t>
  </si>
  <si>
    <t xml:space="preserve">  Local Government Surrender</t>
  </si>
  <si>
    <t xml:space="preserve">  Competition Commission</t>
  </si>
  <si>
    <t xml:space="preserve">  Repatriation deposits</t>
  </si>
  <si>
    <t xml:space="preserve">  Grindrod penalty</t>
  </si>
  <si>
    <t xml:space="preserve">  Safrican Insurance Company penalty</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</si>
  <si>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</si>
  <si>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</si>
  <si>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</si>
  <si>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</si>
  <si>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</si>
  <si>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</si>
  <si>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</si>
  <si>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</si>
  <si>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</si>
  <si>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</si>
  <si>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</si>
  <si>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</si>
  <si>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</si>
  <si>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</si>
  <si>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</si>
  <si>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</si>
  <si>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</si>
  <si>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</si>
  <si>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</si>
  <si>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</si>
  <si>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</si>
  <si>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</si>
  <si>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</si>
  <si>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</si>
  <si>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</si>
  <si>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</si>
  <si>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</si>
  <si>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</si>
  <si>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</si>
  <si>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</si>
  <si>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</si>
  <si>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</si>
  <si>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</si>
  <si>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</si>
  <si>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</si>
  <si>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</si>
  <si>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</si>
  <si>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</si>
  <si>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</si>
  <si>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</si>
  <si>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</si>
  <si>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</si>
  <si>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</si>
  <si>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</si>
  <si>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</si>
  <si>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</si>
  <si>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</si>
  <si>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</si>
  <si>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</si>
  <si>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</si>
  <si>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</si>
  <si>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</si>
  <si>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</si>
  <si>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</si>
  <si>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</si>
  <si>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</si>
  <si>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</si>
  <si>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</si>
  <si>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</si>
  <si>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</si>
  <si>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</si>
  <si>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</si>
  <si>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</si>
  <si>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</si>
  <si>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</si>
  <si>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</si>
  <si>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</si>
  <si>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</si>
  <si>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</si>
  <si>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</si>
  <si>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</si>
  <si>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</si>
  <si>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</si>
  <si>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</si>
  <si>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</si>
  <si>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</si>
  <si>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</si>
  <si>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</si>
  <si>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</si>
  <si>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</si>
  <si>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</si>
  <si>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</si>
  <si>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</si>
  <si>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</si>
  <si>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</si>
  <si>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</si>
  <si>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</si>
  <si>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</si>
  <si>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</si>
  <si>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</si>
  <si>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</si>
  <si>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</si>
  <si>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Provisional allocation for contingencies not assigned to votes</t>
  </si>
  <si>
    <t xml:space="preserve">Provisional allocation for Eskom restructuring </t>
  </si>
  <si>
    <t xml:space="preserve">Provisional allocation for COVID-19 fiscal relief package </t>
  </si>
  <si>
    <t>Compensation of employees adjustment</t>
  </si>
  <si>
    <t>Contingency reserve</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</si>
  <si>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</si>
  <si>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</si>
  <si>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</si>
  <si>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</si>
  <si>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</si>
  <si>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</si>
  <si>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Minister of Finance approved South African Airways payment in terms of Section 6(1)(b) of the Appropriation act 2020. The payment was made by the Department of Public Enterprise.</t>
  </si>
  <si>
    <t>*) Any negative amounts reflected against the votes indicate the reallocation of spending to the correct economic classification.</t>
  </si>
  <si>
    <t>Preliminary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</si>
  <si>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</si>
  <si>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</si>
  <si>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</si>
  <si>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</si>
  <si>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</si>
  <si>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</si>
  <si>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</si>
  <si>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</si>
  <si>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</si>
  <si>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</si>
  <si>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</si>
  <si>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</si>
  <si>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</si>
  <si>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</si>
  <si>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</si>
  <si>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</si>
  <si>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</si>
  <si>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</si>
  <si>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</si>
  <si>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</si>
  <si>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</si>
  <si>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</si>
  <si>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</si>
  <si>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SABC</t>
  </si>
  <si>
    <t>Infrastructure fund not assigned to votes</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</si>
  <si>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</si>
  <si>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</si>
  <si>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</si>
  <si>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and Denel payments in terms of Section 6(1)(b) of the Appropriation act 2019. These payments are made by Public Enterprise</t>
  </si>
  <si>
    <t>Table 3  Summary table of borrowing</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</si>
  <si>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</si>
  <si>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</si>
  <si>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</si>
  <si>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</si>
  <si>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</si>
  <si>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</si>
  <si>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</si>
  <si>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</si>
  <si>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</si>
  <si>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</si>
  <si>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</si>
  <si>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</si>
  <si>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</si>
  <si>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</si>
  <si>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</si>
  <si>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</si>
  <si>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</si>
  <si>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</si>
  <si>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</si>
  <si>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</si>
  <si>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</si>
  <si>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</si>
  <si>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</si>
  <si>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</si>
  <si>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</si>
  <si>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</si>
  <si>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</si>
  <si>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</si>
  <si>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</si>
  <si>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</si>
  <si>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</si>
  <si>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</si>
  <si>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</si>
  <si>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</si>
  <si>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</si>
  <si>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</si>
  <si>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</si>
  <si>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</si>
  <si>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</si>
  <si>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</si>
  <si>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</si>
  <si>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</si>
  <si>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</si>
  <si>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</si>
  <si>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</si>
  <si>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</si>
  <si>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</si>
  <si>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</si>
  <si>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</si>
  <si>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</si>
  <si>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</si>
  <si>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</si>
  <si>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</si>
  <si>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</si>
  <si>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</si>
  <si>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</si>
  <si>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</si>
  <si>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</si>
  <si>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</si>
  <si>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</si>
  <si>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</si>
  <si>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</si>
  <si>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</si>
  <si>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</si>
  <si>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</si>
  <si>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</si>
  <si>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</si>
  <si>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</si>
  <si>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</si>
  <si>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</si>
  <si>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</si>
  <si>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</si>
  <si>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</si>
  <si>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</si>
  <si>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</si>
  <si>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</si>
  <si>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</si>
  <si>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</si>
  <si>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</si>
  <si>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</si>
  <si>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</si>
  <si>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</si>
  <si>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</si>
  <si>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</si>
  <si>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</si>
  <si>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</si>
  <si>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</si>
  <si>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</si>
  <si>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</si>
  <si>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</si>
  <si>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</si>
  <si>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</si>
  <si>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</si>
  <si>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</si>
  <si>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</si>
  <si>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</si>
  <si>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</si>
  <si>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</si>
  <si>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</si>
  <si>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</si>
  <si>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</si>
  <si>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</si>
  <si>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</si>
  <si>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</si>
  <si>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</si>
  <si>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</si>
  <si>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</si>
  <si>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</si>
  <si>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</si>
  <si>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</si>
  <si>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</si>
  <si>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</si>
  <si>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</si>
  <si>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</si>
  <si>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</si>
  <si>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</si>
  <si>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</si>
  <si>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</si>
  <si>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</si>
  <si>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</si>
  <si>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</si>
  <si>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</si>
  <si>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</si>
  <si>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</si>
  <si>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</si>
  <si>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</si>
  <si>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</si>
  <si>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</si>
  <si>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</si>
  <si>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</si>
  <si>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</si>
  <si>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</si>
  <si>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</si>
  <si>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</si>
  <si>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</si>
  <si>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</si>
  <si>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</si>
  <si>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</si>
  <si>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</si>
  <si>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</si>
  <si>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</si>
  <si>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</si>
  <si>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</si>
  <si>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</si>
  <si>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</si>
  <si>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</si>
  <si>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</si>
  <si>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</si>
  <si>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</si>
  <si>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</si>
  <si>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</si>
  <si>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</si>
  <si>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</si>
  <si>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</si>
  <si>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</si>
  <si>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</si>
  <si>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</si>
  <si>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TY2/104 SDR rate plus a % margin US Dollar Promissory Notes due 2025/07/29</t>
  </si>
  <si>
    <t xml:space="preserve">  TY2/97  4.85% US Dollar Notes due 2027/09/27</t>
  </si>
  <si>
    <t xml:space="preserve">  TY2/98  5.65% US Dollar Notes due 2047/09/27</t>
  </si>
  <si>
    <t xml:space="preserve">  Arms Procurement Loan Agreements (cash value)</t>
  </si>
  <si>
    <t xml:space="preserve">       TY2/73A AKA Ausfuhrkredit/Commerzbank/Kreditanstalt due 2017/07/25</t>
  </si>
  <si>
    <t xml:space="preserve">       TY2/73B AKA Ausfuhrkredit/Commerzbank/Kreditanstalt due 2014/04/29</t>
  </si>
  <si>
    <t xml:space="preserve">       TY2/73C Société Générale/Paribas due 2015/05/28</t>
  </si>
  <si>
    <t xml:space="preserve">       TY2/73E Barclays Bank PLC due 2020/10/15  </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</si>
  <si>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</si>
  <si>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</si>
  <si>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</si>
  <si>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</si>
  <si>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</si>
  <si>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</si>
  <si>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</si>
  <si>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</si>
  <si>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</si>
  <si>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</si>
  <si>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</si>
  <si>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</si>
  <si>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</si>
  <si>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</si>
  <si>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</si>
  <si>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</si>
  <si>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</si>
  <si>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</si>
  <si>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</si>
  <si>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</si>
  <si>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</si>
  <si>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</si>
  <si>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</si>
  <si>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</si>
  <si>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</si>
  <si>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</si>
  <si>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</si>
  <si>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</si>
  <si>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</si>
  <si>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</si>
  <si>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</si>
  <si>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</si>
  <si>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</si>
  <si>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</si>
  <si>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</si>
  <si>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</si>
  <si>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</si>
  <si>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</si>
  <si>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</si>
  <si>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</si>
  <si>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</si>
  <si>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</si>
  <si>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</si>
  <si>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</si>
  <si>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</si>
  <si>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</si>
  <si>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</si>
  <si>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</si>
  <si>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</si>
  <si>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</si>
  <si>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</si>
  <si>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</si>
  <si>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</si>
  <si>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</si>
  <si>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</si>
  <si>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</si>
  <si>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</si>
  <si>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</si>
  <si>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</si>
  <si>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</si>
  <si>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</si>
  <si>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</si>
  <si>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</si>
  <si>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</si>
  <si>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</si>
  <si>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</si>
  <si>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</si>
  <si>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</si>
  <si>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</si>
  <si>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</si>
  <si>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</si>
  <si>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</si>
  <si>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</si>
  <si>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</si>
  <si>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</si>
  <si>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</si>
  <si>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</si>
  <si>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</si>
  <si>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</si>
  <si>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</si>
  <si>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</si>
  <si>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</si>
  <si>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</si>
  <si>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</si>
  <si>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</si>
  <si>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</si>
  <si>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</si>
  <si>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</si>
  <si>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</si>
  <si>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</si>
  <si>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</si>
  <si>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</si>
  <si>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</si>
  <si>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</si>
  <si>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</si>
  <si>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</si>
  <si>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</si>
  <si>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</si>
  <si>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</si>
  <si>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</si>
  <si>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</si>
  <si>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</si>
  <si>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</si>
  <si>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</si>
  <si>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</si>
  <si>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</si>
  <si>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</si>
  <si>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</si>
  <si>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</si>
  <si>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</si>
  <si>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</si>
  <si>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</si>
  <si>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</si>
  <si>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</si>
  <si>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</si>
  <si>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</si>
  <si>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</si>
  <si>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</si>
  <si>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</si>
  <si>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</si>
  <si>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</si>
  <si>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</si>
  <si>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</si>
  <si>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</si>
  <si>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</si>
  <si>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</si>
  <si>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</si>
  <si>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</si>
  <si>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</si>
  <si>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</si>
  <si>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</si>
  <si>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</si>
  <si>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</si>
  <si>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</si>
  <si>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</si>
  <si>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</si>
  <si>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</si>
  <si>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</si>
  <si>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</si>
  <si>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</si>
  <si>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</si>
  <si>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</si>
  <si>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</si>
  <si>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</si>
  <si>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</si>
  <si>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</si>
  <si>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</si>
  <si>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</si>
  <si>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</si>
  <si>
    <t>Table 5 Additional information on National Revenue Fund receipts and payments1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</si>
</sst>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_(* \(#,##0\);_(* &quot;-&quot;??_);_(@_)"/>
    <numFmt numFmtId="165" formatCode="_ * #,##0.00_ ;_ * \-#,##0.00_ ;_ * &quot;-&quot;??_ ;_ @_ "/>
    <numFmt numFmtId="166" formatCode="_ * #,##0_ ;_ * \-#,##0_ ;_ * &quot;-&quot;??_ ;_ @_ "/>
    <numFmt numFmtId="167" formatCode="_-* #,##0_-;\-* #,##0_-;_-* &quot;-&quot;??_-;_-@_-"/>
    <numFmt numFmtId="168" formatCode="_(* #,##0.000_);_(* \(#,##0.000\);_(* &quot;-&quot;??_);_(@_)"/>
    <numFmt numFmtId="169" formatCode="_(* #,##0.00000_);_(* \(#,##0.00000\);_(* &quot;-&quot;??_);_(@_)"/>
    <numFmt numFmtId="170" formatCode="_(* #,##0.000000_);_(* \(#,##0.000000\);_(* &quot;-&quot;??_);_(@_)"/>
    <numFmt numFmtId="171" formatCode="_(* #,##0.0000000_);_(* \(#,##0.0000000\);_(* &quot;-&quot;??_);_(@_)"/>
    <numFmt numFmtId="172" formatCode="_(* #,##0.0000_);_(* \(#,##0.0000\);_(* &quot;-&quot;??_);_(@_)"/>
    <numFmt numFmtId="173" formatCode="_(* #,##0.0000000000000000000000000000_);_(* \(#,##0.0000000000000000000000000000\);_(* &quot;-&quot;??_);_(@_)"/>
    <numFmt numFmtId="174" formatCode="_(* #,##0.000000000000000000000000000000000_);_(* \(#,##0.000000000000000000000000000000000\);_(* &quot;-&quot;??_);_(@_)"/>
    <numFmt numFmtId="175" formatCode="_(* #,##0.000000000000000000000000000_);_(* \(#,##0.000000000000000000000000000\);_(* &quot;-&quot;??_);_(@_)"/>
    <numFmt numFmtId="176" formatCode="_(* #,##0.0000000000000000000000000000000000_);_(* \(#,##0.0000000000000000000000000000000000\);_(* &quot;-&quot;??_);_(@_)"/>
    <numFmt numFmtId="177" formatCode="_(* #,##0.0_);_(* \(#,##0.0\);_(* &quot;-&quot;??_);_(@_)"/>
    <numFmt numFmtId="178" formatCode=";;;"/>
    <numFmt numFmtId="179" formatCode="_(* #,##0.000000000000000000_);_(* \(#,##0.000000000000000000\);_(* &quot;-&quot;??_);_(@_)"/>
  </numFmts>
  <fonts count="28" x14ac:knownFonts="1">
    <font>
      <sz val="11"/>
      <color theme="1"/>
      <name val="Calibri"/>
      <family val="2"/>
      <scheme val="minor"/>
    </font>
    <font>
      <sz val="11"/>
      <color theme="1"/>
      <name val="Calibri"/>
      <family val="2"/>
      <scheme val="minor"/>
    </font>
    <font>
      <sz val="8"/>
      <name val="Arial Narrow"/>
      <family val="2"/>
    </font>
    <font>
      <b/>
      <sz val="10"/>
      <name val="Arial"/>
      <family val="2"/>
    </font>
    <font>
      <sz val="10"/>
      <name val="Arial"/>
      <family val="2"/>
    </font>
    <font>
      <b/>
      <sz val="12"/>
      <name val="Arial Narrow"/>
      <family val="2"/>
    </font>
    <font>
      <b/>
      <sz val="10"/>
      <name val="Arial Narrow"/>
      <family val="2"/>
    </font>
    <font>
      <b/>
      <sz val="8"/>
      <name val="Arial Narrow"/>
      <family val="2"/>
    </font>
    <font>
      <sz val="10"/>
      <name val="Arial Narrow"/>
      <family val="2"/>
    </font>
    <font>
      <b/>
      <i/>
      <sz val="10"/>
      <name val="Arial Narrow"/>
      <family val="2"/>
    </font>
    <font>
      <i/>
      <sz val="10"/>
      <name val="Arial Narrow"/>
      <family val="2"/>
    </font>
    <font>
      <sz val="10"/>
      <color indexed="8"/>
      <name val="Arial Narrow"/>
      <family val="2"/>
    </font>
    <font>
      <i/>
      <sz val="10"/>
      <color indexed="8"/>
      <name val="Arial Narrow"/>
      <family val="2"/>
    </font>
    <font>
      <i/>
      <sz val="9"/>
      <name val="Arial Narrow"/>
      <family val="2"/>
    </font>
    <font>
      <sz val="8"/>
      <color rgb="FFFF0000"/>
      <name val="Arial Narrow"/>
      <family val="2"/>
    </font>
    <font>
      <b/>
      <vertAlign val="superscript"/>
      <sz val="10"/>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sz val="8"/>
      <color theme="1"/>
      <name val="Arial Narrow"/>
      <family val="2"/>
    </font>
    <font>
      <sz val="11"/>
      <name val="Calibri"/>
      <family val="2"/>
    </font>
    <font>
      <u/>
      <sz val="10"/>
      <color indexed="8"/>
      <name val="Arial Narrow"/>
      <family val="2"/>
    </font>
    <font>
      <b/>
      <u/>
      <sz val="10"/>
      <color indexed="8"/>
      <name val="Arial Narrow"/>
      <family val="2"/>
    </font>
    <font>
      <sz val="11"/>
      <name val="Arial"/>
      <family val="2"/>
    </font>
    <font>
      <i/>
      <sz val="10"/>
      <name val="Arial"/>
      <family val="2"/>
    </font>
    <font>
      <i/>
      <sz val="8"/>
      <name val="Arial"/>
      <family val="2"/>
    </font>
    <font>
      <sz val="8"/>
      <name val="Arial"/>
      <family val="2"/>
    </font>
  </fonts>
  <fills count="3">
    <fill>
      <patternFill patternType="none"/>
    </fill>
    <fill>
      <patternFill patternType="gray125"/>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6">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165" fontId="1" fillId="0" borderId="0" applyFont="0" applyFill="0" applyBorder="0" applyAlignment="0" applyProtection="0"/>
    <xf numFmtId="43" fontId="4" fillId="0" borderId="0" applyFont="0" applyFill="0" applyBorder="0" applyAlignment="0" applyProtection="0"/>
    <xf numFmtId="0" fontId="2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738">
    <xf numFmtId="0" fontId="0" fillId="0" borderId="0" xfId="0"/>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xf numFmtId="0" fontId="3" fillId="0" borderId="3" xfId="0" applyFont="1" applyFill="1" applyBorder="1" applyAlignment="1">
      <alignment horizontal="left" vertical="center" wrapText="1"/>
    </xf>
    <xf numFmtId="0" fontId="2" fillId="0" borderId="0" xfId="0" applyFont="1" applyFill="1" applyBorder="1" applyAlignment="1">
      <alignment horizontal="right"/>
    </xf>
    <xf numFmtId="0" fontId="5" fillId="0" borderId="0" xfId="0" applyFont="1" applyFill="1" applyBorder="1"/>
    <xf numFmtId="0" fontId="6" fillId="0" borderId="0" xfId="0" applyFont="1" applyFill="1" applyBorder="1"/>
    <xf numFmtId="0" fontId="7" fillId="0" borderId="0" xfId="0" applyFont="1" applyFill="1" applyBorder="1"/>
    <xf numFmtId="43" fontId="2" fillId="0" borderId="0" xfId="1" applyFont="1" applyFill="1" applyBorder="1"/>
    <xf numFmtId="0" fontId="2" fillId="0" borderId="0" xfId="0" applyFont="1" applyFill="1"/>
    <xf numFmtId="0" fontId="5" fillId="0" borderId="6" xfId="0" applyFont="1" applyFill="1" applyBorder="1"/>
    <xf numFmtId="0" fontId="6" fillId="0" borderId="6" xfId="0" applyFont="1" applyFill="1" applyBorder="1"/>
    <xf numFmtId="0" fontId="2" fillId="0" borderId="6" xfId="0" applyFont="1" applyFill="1" applyBorder="1"/>
    <xf numFmtId="0" fontId="7" fillId="0" borderId="6" xfId="0" applyFont="1" applyFill="1" applyBorder="1"/>
    <xf numFmtId="43" fontId="2" fillId="0" borderId="6" xfId="1" applyFont="1" applyFill="1" applyBorder="1"/>
    <xf numFmtId="0" fontId="8" fillId="0" borderId="0" xfId="0" applyFont="1" applyFill="1"/>
    <xf numFmtId="0" fontId="6" fillId="0" borderId="7" xfId="0" applyFont="1" applyFill="1" applyBorder="1"/>
    <xf numFmtId="0" fontId="6" fillId="0" borderId="8" xfId="0" applyFont="1" applyFill="1" applyBorder="1"/>
    <xf numFmtId="0" fontId="8" fillId="0" borderId="7" xfId="0" applyFont="1" applyFill="1" applyBorder="1"/>
    <xf numFmtId="0" fontId="6" fillId="0" borderId="13" xfId="0" applyFont="1" applyFill="1" applyBorder="1" applyAlignment="1">
      <alignment horizontal="center"/>
    </xf>
    <xf numFmtId="164" fontId="6" fillId="0" borderId="14" xfId="1" applyNumberFormat="1" applyFont="1" applyFill="1" applyBorder="1" applyAlignment="1">
      <alignment horizontal="right"/>
    </xf>
    <xf numFmtId="164" fontId="6" fillId="0" borderId="15" xfId="1" applyNumberFormat="1" applyFont="1" applyFill="1" applyBorder="1" applyAlignment="1">
      <alignment horizontal="right"/>
    </xf>
    <xf numFmtId="164" fontId="6" fillId="0" borderId="16" xfId="1" applyNumberFormat="1" applyFont="1" applyFill="1" applyBorder="1" applyAlignment="1">
      <alignment horizontal="right"/>
    </xf>
    <xf numFmtId="0" fontId="6" fillId="0" borderId="0" xfId="0" applyFont="1" applyFill="1"/>
    <xf numFmtId="0" fontId="6" fillId="0" borderId="17" xfId="0" applyFont="1" applyFill="1" applyBorder="1"/>
    <xf numFmtId="0" fontId="6" fillId="0" borderId="18" xfId="0" applyFont="1" applyFill="1" applyBorder="1"/>
    <xf numFmtId="0" fontId="6" fillId="0" borderId="19" xfId="0" applyFont="1" applyFill="1" applyBorder="1" applyAlignment="1">
      <alignment horizontal="center"/>
    </xf>
    <xf numFmtId="164" fontId="6" fillId="0" borderId="20" xfId="1" applyNumberFormat="1" applyFont="1" applyFill="1" applyBorder="1" applyAlignment="1">
      <alignment horizontal="right"/>
    </xf>
    <xf numFmtId="164" fontId="6" fillId="0" borderId="21" xfId="1" applyNumberFormat="1" applyFont="1" applyFill="1" applyBorder="1" applyAlignment="1">
      <alignment horizontal="right"/>
    </xf>
    <xf numFmtId="0" fontId="6" fillId="0" borderId="18" xfId="0" applyFont="1" applyFill="1" applyBorder="1" applyAlignment="1">
      <alignment horizontal="right"/>
    </xf>
    <xf numFmtId="0" fontId="6" fillId="0" borderId="23" xfId="0" applyFont="1" applyFill="1" applyBorder="1"/>
    <xf numFmtId="0" fontId="6" fillId="0" borderId="16" xfId="0" applyFont="1" applyFill="1" applyBorder="1"/>
    <xf numFmtId="0" fontId="6" fillId="0" borderId="24" xfId="0" applyFont="1" applyFill="1" applyBorder="1" applyAlignment="1">
      <alignment horizontal="center"/>
    </xf>
    <xf numFmtId="0" fontId="6" fillId="0" borderId="14" xfId="0" applyFont="1" applyFill="1" applyBorder="1" applyAlignment="1">
      <alignment horizontal="center"/>
    </xf>
    <xf numFmtId="164" fontId="6" fillId="0" borderId="25" xfId="1" applyNumberFormat="1" applyFont="1" applyFill="1" applyBorder="1" applyAlignment="1">
      <alignment horizontal="right"/>
    </xf>
    <xf numFmtId="0" fontId="6" fillId="0" borderId="15" xfId="0" applyFont="1" applyFill="1" applyBorder="1" applyAlignment="1">
      <alignment horizontal="center"/>
    </xf>
    <xf numFmtId="164" fontId="6" fillId="0" borderId="15" xfId="0" applyNumberFormat="1" applyFont="1" applyFill="1" applyBorder="1" applyAlignment="1">
      <alignment horizontal="center"/>
    </xf>
    <xf numFmtId="164" fontId="8" fillId="0" borderId="0" xfId="0" applyNumberFormat="1" applyFont="1" applyFill="1"/>
    <xf numFmtId="0" fontId="8" fillId="0" borderId="0" xfId="0" applyFont="1" applyFill="1" applyBorder="1"/>
    <xf numFmtId="164" fontId="6" fillId="0" borderId="26" xfId="1" applyNumberFormat="1" applyFont="1" applyFill="1" applyBorder="1" applyAlignment="1">
      <alignment horizontal="right"/>
    </xf>
    <xf numFmtId="164" fontId="6" fillId="0" borderId="26" xfId="1" applyNumberFormat="1" applyFont="1" applyFill="1" applyBorder="1" applyAlignment="1">
      <alignment horizontal="center"/>
    </xf>
    <xf numFmtId="164" fontId="6" fillId="0" borderId="0" xfId="1" applyNumberFormat="1" applyFont="1" applyFill="1" applyBorder="1" applyAlignment="1">
      <alignment horizontal="right"/>
    </xf>
    <xf numFmtId="0" fontId="8" fillId="0" borderId="7" xfId="0" applyFont="1" applyFill="1" applyBorder="1" applyAlignment="1">
      <alignment horizontal="right"/>
    </xf>
    <xf numFmtId="164" fontId="6" fillId="0" borderId="27" xfId="0" applyNumberFormat="1" applyFont="1" applyFill="1" applyBorder="1" applyAlignment="1">
      <alignment horizontal="right"/>
    </xf>
    <xf numFmtId="0" fontId="6" fillId="0" borderId="28" xfId="0" applyFont="1" applyFill="1" applyBorder="1" applyAlignment="1">
      <alignment horizontal="right"/>
    </xf>
    <xf numFmtId="0" fontId="6" fillId="0" borderId="29" xfId="0" applyFont="1" applyFill="1" applyBorder="1" applyAlignment="1">
      <alignment horizontal="right"/>
    </xf>
    <xf numFmtId="0" fontId="6" fillId="0" borderId="0" xfId="0" applyFont="1" applyFill="1" applyAlignment="1">
      <alignment horizontal="right"/>
    </xf>
    <xf numFmtId="0" fontId="8" fillId="0" borderId="13" xfId="0" applyFont="1" applyFill="1" applyBorder="1" applyAlignment="1">
      <alignment horizontal="center"/>
    </xf>
    <xf numFmtId="164" fontId="8" fillId="0" borderId="25" xfId="1" applyNumberFormat="1" applyFont="1" applyFill="1" applyBorder="1" applyAlignment="1">
      <alignment horizontal="right"/>
    </xf>
    <xf numFmtId="43" fontId="8" fillId="0" borderId="25" xfId="1" applyNumberFormat="1" applyFont="1" applyFill="1" applyBorder="1" applyAlignment="1">
      <alignment horizontal="right"/>
    </xf>
    <xf numFmtId="43" fontId="8" fillId="0" borderId="26" xfId="1" applyNumberFormat="1" applyFont="1" applyFill="1" applyBorder="1" applyAlignment="1">
      <alignment horizontal="right"/>
    </xf>
    <xf numFmtId="164" fontId="8" fillId="0" borderId="26" xfId="1" applyNumberFormat="1" applyFont="1" applyFill="1" applyBorder="1" applyAlignment="1">
      <alignment horizontal="right"/>
    </xf>
    <xf numFmtId="164" fontId="8" fillId="0" borderId="0" xfId="1" applyNumberFormat="1" applyFont="1" applyFill="1" applyBorder="1" applyAlignment="1">
      <alignment horizontal="right"/>
    </xf>
    <xf numFmtId="164" fontId="8" fillId="0" borderId="30" xfId="1" applyNumberFormat="1" applyFont="1" applyFill="1" applyBorder="1" applyAlignment="1">
      <alignment horizontal="right"/>
    </xf>
    <xf numFmtId="164" fontId="8" fillId="0" borderId="0" xfId="0" applyNumberFormat="1" applyFont="1" applyFill="1" applyAlignment="1">
      <alignment horizontal="right"/>
    </xf>
    <xf numFmtId="0" fontId="8" fillId="0" borderId="0" xfId="0" applyFont="1" applyFill="1" applyAlignment="1">
      <alignment horizontal="right"/>
    </xf>
    <xf numFmtId="164" fontId="6" fillId="0" borderId="0" xfId="0" applyNumberFormat="1" applyFont="1" applyFill="1" applyAlignment="1">
      <alignment horizontal="right"/>
    </xf>
    <xf numFmtId="164" fontId="6" fillId="0" borderId="30" xfId="1" applyNumberFormat="1" applyFont="1" applyFill="1" applyBorder="1" applyAlignment="1">
      <alignment horizontal="right"/>
    </xf>
    <xf numFmtId="0" fontId="9" fillId="0" borderId="7" xfId="0" applyFont="1" applyFill="1" applyBorder="1"/>
    <xf numFmtId="164" fontId="6" fillId="0" borderId="25" xfId="1" applyNumberFormat="1" applyFont="1" applyFill="1" applyBorder="1" applyAlignment="1">
      <alignment horizontal="center"/>
    </xf>
    <xf numFmtId="164" fontId="6" fillId="0" borderId="0" xfId="1" applyNumberFormat="1" applyFont="1" applyFill="1" applyBorder="1" applyAlignment="1">
      <alignment horizontal="center"/>
    </xf>
    <xf numFmtId="0" fontId="10" fillId="0" borderId="0" xfId="0" applyFont="1" applyFill="1" applyBorder="1"/>
    <xf numFmtId="0" fontId="9" fillId="0" borderId="13" xfId="0" applyFont="1" applyFill="1" applyBorder="1" applyAlignment="1">
      <alignment horizontal="center"/>
    </xf>
    <xf numFmtId="164" fontId="10" fillId="0" borderId="25" xfId="1" applyNumberFormat="1" applyFont="1" applyFill="1" applyBorder="1" applyAlignment="1">
      <alignment horizontal="center"/>
    </xf>
    <xf numFmtId="164" fontId="10" fillId="0" borderId="26" xfId="1" applyNumberFormat="1" applyFont="1" applyFill="1" applyBorder="1" applyAlignment="1">
      <alignment horizontal="center"/>
    </xf>
    <xf numFmtId="164" fontId="10" fillId="0" borderId="0" xfId="1" applyNumberFormat="1" applyFont="1" applyFill="1" applyBorder="1" applyAlignment="1">
      <alignment horizontal="center"/>
    </xf>
    <xf numFmtId="0" fontId="8" fillId="0" borderId="0" xfId="0" applyFont="1" applyFill="1" applyAlignment="1">
      <alignment horizontal="left" indent="1"/>
    </xf>
    <xf numFmtId="0" fontId="9" fillId="0" borderId="7" xfId="0" applyFont="1" applyFill="1" applyBorder="1" applyAlignment="1">
      <alignment horizontal="left" indent="1"/>
    </xf>
    <xf numFmtId="0" fontId="6" fillId="0" borderId="0" xfId="0" applyFont="1" applyFill="1" applyBorder="1" applyAlignment="1">
      <alignment horizontal="left" indent="1"/>
    </xf>
    <xf numFmtId="0" fontId="11" fillId="0" borderId="0" xfId="0" applyNumberFormat="1" applyFont="1" applyFill="1" applyBorder="1" applyAlignment="1">
      <alignment horizontal="left" wrapText="1"/>
    </xf>
    <xf numFmtId="0" fontId="8" fillId="0" borderId="0" xfId="0" applyFont="1" applyFill="1" applyBorder="1" applyAlignment="1">
      <alignment horizontal="left" indent="1"/>
    </xf>
    <xf numFmtId="0" fontId="6" fillId="0" borderId="13" xfId="0" applyFont="1" applyFill="1" applyBorder="1" applyAlignment="1">
      <alignment horizontal="left" indent="1"/>
    </xf>
    <xf numFmtId="164" fontId="8" fillId="0" borderId="25" xfId="1" applyNumberFormat="1" applyFont="1" applyFill="1" applyBorder="1" applyAlignment="1">
      <alignment horizontal="left" indent="1"/>
    </xf>
    <xf numFmtId="164" fontId="8" fillId="0" borderId="26" xfId="1" applyNumberFormat="1" applyFont="1" applyFill="1" applyBorder="1" applyAlignment="1">
      <alignment horizontal="left" indent="1"/>
    </xf>
    <xf numFmtId="164" fontId="8" fillId="0" borderId="26" xfId="1" applyNumberFormat="1" applyFont="1" applyFill="1" applyBorder="1" applyAlignment="1">
      <alignment horizontal="center"/>
    </xf>
    <xf numFmtId="0" fontId="8" fillId="0" borderId="7" xfId="0" applyFont="1" applyFill="1" applyBorder="1" applyAlignment="1">
      <alignment horizontal="left" indent="1"/>
    </xf>
    <xf numFmtId="0" fontId="10" fillId="0" borderId="0" xfId="0" applyFont="1" applyFill="1" applyBorder="1" applyAlignment="1">
      <alignment horizontal="left" indent="1"/>
    </xf>
    <xf numFmtId="0" fontId="10" fillId="0" borderId="7" xfId="0" applyFont="1" applyFill="1" applyBorder="1"/>
    <xf numFmtId="0" fontId="10" fillId="0" borderId="0" xfId="0" applyFont="1" applyFill="1" applyBorder="1" applyAlignment="1">
      <alignment wrapText="1"/>
    </xf>
    <xf numFmtId="0" fontId="10" fillId="0" borderId="13" xfId="0" applyFont="1" applyFill="1" applyBorder="1" applyAlignment="1">
      <alignment horizontal="center"/>
    </xf>
    <xf numFmtId="164" fontId="8" fillId="0" borderId="25" xfId="1" applyNumberFormat="1" applyFont="1" applyFill="1" applyBorder="1" applyAlignment="1">
      <alignment horizontal="center"/>
    </xf>
    <xf numFmtId="0" fontId="12" fillId="0" borderId="0" xfId="0" applyNumberFormat="1" applyFont="1" applyFill="1" applyBorder="1" applyAlignment="1">
      <alignment horizontal="left" wrapText="1" indent="1"/>
    </xf>
    <xf numFmtId="164" fontId="8" fillId="0" borderId="0" xfId="1" applyNumberFormat="1" applyFont="1" applyFill="1" applyBorder="1" applyAlignment="1">
      <alignment horizontal="center"/>
    </xf>
    <xf numFmtId="0" fontId="8" fillId="0" borderId="0" xfId="2" applyFont="1" applyFill="1" applyBorder="1"/>
    <xf numFmtId="0" fontId="6" fillId="0" borderId="7" xfId="0" applyFont="1" applyFill="1" applyBorder="1" applyAlignment="1">
      <alignment horizontal="right"/>
    </xf>
    <xf numFmtId="0" fontId="11" fillId="0" borderId="0" xfId="0" applyNumberFormat="1" applyFont="1" applyFill="1" applyBorder="1" applyAlignment="1"/>
    <xf numFmtId="0" fontId="10" fillId="0" borderId="0" xfId="0" applyFont="1" applyFill="1" applyBorder="1" applyAlignment="1">
      <alignment horizontal="right"/>
    </xf>
    <xf numFmtId="41" fontId="6" fillId="0" borderId="14" xfId="1" applyNumberFormat="1" applyFont="1" applyFill="1" applyBorder="1" applyAlignment="1">
      <alignment horizontal="right"/>
    </xf>
    <xf numFmtId="41" fontId="6" fillId="0" borderId="15" xfId="1" applyNumberFormat="1" applyFont="1" applyFill="1" applyBorder="1" applyAlignment="1">
      <alignment horizontal="right"/>
    </xf>
    <xf numFmtId="37" fontId="8" fillId="0" borderId="20" xfId="1" applyNumberFormat="1" applyFont="1" applyFill="1" applyBorder="1" applyAlignment="1">
      <alignment horizontal="right"/>
    </xf>
    <xf numFmtId="37" fontId="8" fillId="0" borderId="21" xfId="1" applyNumberFormat="1" applyFont="1" applyFill="1" applyBorder="1" applyAlignment="1">
      <alignment horizontal="right"/>
    </xf>
    <xf numFmtId="164" fontId="9" fillId="0" borderId="14" xfId="1" applyNumberFormat="1" applyFont="1" applyFill="1" applyBorder="1" applyAlignment="1">
      <alignment horizontal="right"/>
    </xf>
    <xf numFmtId="164" fontId="9" fillId="0" borderId="15" xfId="1" applyNumberFormat="1" applyFont="1" applyFill="1" applyBorder="1" applyAlignment="1">
      <alignment horizontal="right"/>
    </xf>
    <xf numFmtId="164" fontId="9" fillId="0" borderId="25" xfId="1" applyNumberFormat="1" applyFont="1" applyFill="1" applyBorder="1" applyAlignment="1">
      <alignment horizontal="right"/>
    </xf>
    <xf numFmtId="164" fontId="9" fillId="0" borderId="26" xfId="1" applyNumberFormat="1" applyFont="1" applyFill="1" applyBorder="1" applyAlignment="1">
      <alignment horizontal="right"/>
    </xf>
    <xf numFmtId="0" fontId="9" fillId="0" borderId="0" xfId="0" applyFont="1" applyFill="1" applyBorder="1"/>
    <xf numFmtId="4" fontId="8" fillId="0" borderId="0" xfId="0" applyNumberFormat="1" applyFont="1" applyFill="1" applyBorder="1"/>
    <xf numFmtId="0" fontId="9" fillId="0" borderId="7" xfId="0" applyFont="1" applyFill="1" applyBorder="1" applyAlignment="1">
      <alignment horizontal="right"/>
    </xf>
    <xf numFmtId="0" fontId="9" fillId="0" borderId="0" xfId="0" applyFont="1" applyFill="1" applyAlignment="1">
      <alignment horizontal="right"/>
    </xf>
    <xf numFmtId="164" fontId="8" fillId="0" borderId="20" xfId="1" applyNumberFormat="1" applyFont="1" applyFill="1" applyBorder="1" applyAlignment="1">
      <alignment horizontal="right"/>
    </xf>
    <xf numFmtId="164" fontId="8" fillId="0" borderId="21" xfId="1" applyNumberFormat="1" applyFont="1" applyFill="1" applyBorder="1" applyAlignment="1">
      <alignment horizontal="right"/>
    </xf>
    <xf numFmtId="164" fontId="8" fillId="0" borderId="18" xfId="1" applyNumberFormat="1" applyFont="1" applyFill="1" applyBorder="1" applyAlignment="1">
      <alignment horizontal="right"/>
    </xf>
    <xf numFmtId="37" fontId="6" fillId="0" borderId="14" xfId="1" applyNumberFormat="1" applyFont="1" applyFill="1" applyBorder="1" applyAlignment="1">
      <alignment horizontal="right"/>
    </xf>
    <xf numFmtId="37" fontId="6" fillId="0" borderId="15" xfId="1" applyNumberFormat="1" applyFont="1" applyFill="1" applyBorder="1" applyAlignment="1">
      <alignment horizontal="right"/>
    </xf>
    <xf numFmtId="164" fontId="9" fillId="0" borderId="0" xfId="0" applyNumberFormat="1" applyFont="1" applyFill="1" applyAlignment="1">
      <alignment horizontal="right"/>
    </xf>
    <xf numFmtId="0" fontId="8" fillId="0" borderId="31" xfId="0" applyFont="1" applyFill="1" applyBorder="1"/>
    <xf numFmtId="0" fontId="8" fillId="0" borderId="6" xfId="0" applyFont="1" applyFill="1" applyBorder="1"/>
    <xf numFmtId="0" fontId="8" fillId="0" borderId="32" xfId="0" applyFont="1" applyFill="1" applyBorder="1" applyAlignment="1">
      <alignment horizontal="center"/>
    </xf>
    <xf numFmtId="164" fontId="8" fillId="0" borderId="33" xfId="1" applyNumberFormat="1" applyFont="1" applyFill="1" applyBorder="1" applyAlignment="1">
      <alignment horizontal="right"/>
    </xf>
    <xf numFmtId="164" fontId="8" fillId="0" borderId="34" xfId="1" applyNumberFormat="1" applyFont="1" applyFill="1" applyBorder="1" applyAlignment="1">
      <alignment horizontal="right"/>
    </xf>
    <xf numFmtId="164" fontId="8" fillId="0" borderId="6" xfId="1" applyNumberFormat="1" applyFont="1" applyFill="1" applyBorder="1" applyAlignment="1">
      <alignment horizontal="right"/>
    </xf>
    <xf numFmtId="164" fontId="8" fillId="0" borderId="35" xfId="1" applyNumberFormat="1" applyFont="1" applyFill="1" applyBorder="1" applyAlignment="1">
      <alignment horizontal="right"/>
    </xf>
    <xf numFmtId="0" fontId="13"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alignment horizontal="right"/>
    </xf>
    <xf numFmtId="0" fontId="10" fillId="0" borderId="0" xfId="0" applyFont="1" applyFill="1" applyBorder="1" applyAlignment="1">
      <alignment vertical="top"/>
    </xf>
    <xf numFmtId="164" fontId="14"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0" fontId="2" fillId="0" borderId="0" xfId="0" applyFont="1" applyFill="1" applyAlignment="1">
      <alignment horizontal="right"/>
    </xf>
    <xf numFmtId="164" fontId="8" fillId="0" borderId="0" xfId="0" applyNumberFormat="1" applyFont="1" applyFill="1" applyAlignment="1"/>
    <xf numFmtId="164" fontId="8" fillId="0" borderId="0" xfId="0" applyNumberFormat="1" applyFont="1" applyFill="1" applyBorder="1" applyAlignment="1"/>
    <xf numFmtId="164" fontId="6" fillId="0" borderId="6" xfId="0" applyNumberFormat="1" applyFont="1" applyFill="1" applyBorder="1" applyAlignment="1"/>
    <xf numFmtId="164" fontId="8" fillId="0" borderId="6" xfId="0" applyNumberFormat="1" applyFont="1" applyFill="1" applyBorder="1" applyAlignment="1"/>
    <xf numFmtId="164" fontId="8" fillId="0" borderId="36" xfId="0" applyNumberFormat="1" applyFont="1" applyFill="1" applyBorder="1" applyAlignment="1"/>
    <xf numFmtId="164" fontId="8" fillId="0" borderId="37" xfId="0" applyNumberFormat="1" applyFont="1" applyFill="1" applyBorder="1" applyAlignment="1"/>
    <xf numFmtId="164" fontId="8" fillId="0" borderId="38" xfId="0" applyNumberFormat="1" applyFont="1" applyFill="1" applyBorder="1" applyAlignment="1">
      <alignment horizontal="right"/>
    </xf>
    <xf numFmtId="164" fontId="6" fillId="0" borderId="7" xfId="0" quotePrefix="1" applyNumberFormat="1" applyFont="1" applyFill="1" applyBorder="1" applyAlignment="1">
      <alignment horizontal="center"/>
    </xf>
    <xf numFmtId="164" fontId="6" fillId="0" borderId="0" xfId="0" quotePrefix="1" applyNumberFormat="1" applyFont="1" applyFill="1" applyBorder="1" applyAlignment="1">
      <alignment horizontal="center"/>
    </xf>
    <xf numFmtId="164" fontId="8" fillId="0" borderId="7" xfId="0" applyNumberFormat="1" applyFont="1" applyFill="1" applyBorder="1" applyAlignment="1"/>
    <xf numFmtId="164" fontId="6" fillId="0" borderId="0" xfId="0" applyNumberFormat="1" applyFont="1" applyFill="1" applyBorder="1" applyAlignment="1"/>
    <xf numFmtId="164" fontId="10" fillId="0" borderId="26" xfId="0" applyNumberFormat="1" applyFont="1" applyFill="1" applyBorder="1" applyAlignment="1">
      <alignment horizontal="right"/>
    </xf>
    <xf numFmtId="164" fontId="6" fillId="0" borderId="14" xfId="3" applyNumberFormat="1" applyFont="1" applyFill="1" applyBorder="1" applyAlignment="1">
      <alignment horizontal="right"/>
    </xf>
    <xf numFmtId="164" fontId="6" fillId="0" borderId="15" xfId="0" applyNumberFormat="1" applyFont="1" applyFill="1" applyBorder="1" applyAlignment="1">
      <alignment horizontal="right"/>
    </xf>
    <xf numFmtId="164" fontId="6" fillId="0" borderId="39" xfId="0" applyNumberFormat="1" applyFont="1" applyFill="1" applyBorder="1" applyAlignment="1">
      <alignment horizontal="right"/>
    </xf>
    <xf numFmtId="164" fontId="6" fillId="0" borderId="14" xfId="0" applyNumberFormat="1" applyFont="1" applyFill="1" applyBorder="1" applyAlignment="1">
      <alignment horizontal="right"/>
    </xf>
    <xf numFmtId="164" fontId="6" fillId="0" borderId="7"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17" xfId="0" applyNumberFormat="1" applyFont="1" applyFill="1" applyBorder="1" applyAlignment="1"/>
    <xf numFmtId="164" fontId="6" fillId="0" borderId="18" xfId="0" applyNumberFormat="1" applyFont="1" applyFill="1" applyBorder="1" applyAlignment="1"/>
    <xf numFmtId="164" fontId="6" fillId="0" borderId="21" xfId="0" applyNumberFormat="1" applyFont="1" applyFill="1" applyBorder="1" applyAlignment="1">
      <alignment horizontal="right"/>
    </xf>
    <xf numFmtId="164" fontId="6" fillId="0" borderId="25" xfId="3" applyNumberFormat="1" applyFont="1" applyFill="1" applyBorder="1" applyAlignment="1">
      <alignment horizontal="right"/>
    </xf>
    <xf numFmtId="164" fontId="6" fillId="0" borderId="26" xfId="3" applyNumberFormat="1" applyFont="1" applyFill="1" applyBorder="1" applyAlignment="1">
      <alignment horizontal="right"/>
    </xf>
    <xf numFmtId="164" fontId="6" fillId="0" borderId="0" xfId="3" applyNumberFormat="1" applyFont="1" applyFill="1" applyBorder="1" applyAlignment="1">
      <alignment horizontal="right"/>
    </xf>
    <xf numFmtId="164" fontId="6" fillId="0" borderId="13" xfId="3" applyNumberFormat="1" applyFont="1" applyFill="1" applyBorder="1" applyAlignment="1">
      <alignment horizontal="right"/>
    </xf>
    <xf numFmtId="164" fontId="6" fillId="0" borderId="40" xfId="3" applyNumberFormat="1" applyFont="1" applyFill="1" applyBorder="1" applyAlignment="1">
      <alignment horizontal="right"/>
    </xf>
    <xf numFmtId="164" fontId="6" fillId="0" borderId="41" xfId="0" applyNumberFormat="1" applyFont="1" applyFill="1" applyBorder="1" applyAlignment="1">
      <alignment horizontal="right"/>
    </xf>
    <xf numFmtId="164" fontId="10" fillId="0" borderId="23" xfId="0" applyNumberFormat="1" applyFont="1" applyFill="1" applyBorder="1" applyAlignment="1"/>
    <xf numFmtId="164" fontId="9" fillId="0" borderId="0" xfId="0" applyNumberFormat="1" applyFont="1" applyFill="1" applyBorder="1" applyAlignment="1"/>
    <xf numFmtId="164" fontId="10" fillId="0" borderId="0" xfId="0" applyNumberFormat="1" applyFont="1" applyFill="1" applyBorder="1" applyAlignment="1"/>
    <xf numFmtId="164" fontId="9" fillId="0" borderId="16" xfId="0" applyNumberFormat="1" applyFont="1" applyFill="1" applyBorder="1" applyAlignment="1"/>
    <xf numFmtId="164" fontId="10" fillId="0" borderId="15" xfId="0" applyNumberFormat="1" applyFont="1" applyFill="1" applyBorder="1" applyAlignment="1">
      <alignment horizontal="right"/>
    </xf>
    <xf numFmtId="164" fontId="6" fillId="0" borderId="16" xfId="0" applyNumberFormat="1" applyFont="1" applyFill="1" applyBorder="1" applyAlignment="1">
      <alignment horizontal="right"/>
    </xf>
    <xf numFmtId="164" fontId="6" fillId="0" borderId="24" xfId="0" applyNumberFormat="1" applyFont="1" applyFill="1" applyBorder="1" applyAlignment="1">
      <alignment horizontal="right"/>
    </xf>
    <xf numFmtId="164" fontId="9" fillId="0" borderId="7" xfId="0" applyNumberFormat="1" applyFont="1" applyFill="1" applyBorder="1" applyAlignment="1"/>
    <xf numFmtId="164" fontId="10" fillId="0" borderId="0" xfId="0" applyNumberFormat="1" applyFont="1" applyFill="1" applyAlignment="1"/>
    <xf numFmtId="164" fontId="8" fillId="0" borderId="26" xfId="0" applyNumberFormat="1" applyFont="1" applyFill="1" applyBorder="1" applyAlignment="1">
      <alignment horizontal="right"/>
    </xf>
    <xf numFmtId="164" fontId="8" fillId="0" borderId="25" xfId="0" applyNumberFormat="1" applyFont="1" applyFill="1" applyBorder="1" applyAlignment="1">
      <alignment horizontal="right"/>
    </xf>
    <xf numFmtId="164" fontId="8" fillId="0" borderId="40" xfId="0" applyNumberFormat="1" applyFont="1" applyFill="1" applyBorder="1" applyAlignment="1">
      <alignment horizontal="right"/>
    </xf>
    <xf numFmtId="164" fontId="8" fillId="0" borderId="13" xfId="0" applyNumberFormat="1" applyFont="1" applyFill="1" applyBorder="1" applyAlignment="1">
      <alignment horizontal="right"/>
    </xf>
    <xf numFmtId="164" fontId="8" fillId="0" borderId="7" xfId="0" applyNumberFormat="1" applyFont="1" applyFill="1" applyBorder="1" applyAlignment="1">
      <alignment horizontal="right"/>
    </xf>
    <xf numFmtId="164" fontId="8" fillId="0" borderId="0" xfId="0" applyNumberFormat="1" applyFont="1" applyFill="1" applyBorder="1" applyAlignment="1">
      <alignment horizontal="right"/>
    </xf>
    <xf numFmtId="164" fontId="10" fillId="0" borderId="7" xfId="0" applyNumberFormat="1" applyFont="1" applyFill="1" applyBorder="1" applyAlignment="1"/>
    <xf numFmtId="164" fontId="16" fillId="0" borderId="0" xfId="0" applyNumberFormat="1" applyFont="1" applyFill="1" applyBorder="1" applyAlignment="1"/>
    <xf numFmtId="164" fontId="12" fillId="0" borderId="26" xfId="0" applyNumberFormat="1" applyFont="1" applyFill="1" applyBorder="1" applyAlignment="1">
      <alignment horizontal="right"/>
    </xf>
    <xf numFmtId="164" fontId="6" fillId="0" borderId="26" xfId="3"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13" xfId="3" applyNumberFormat="1" applyFont="1" applyFill="1" applyBorder="1" applyAlignment="1">
      <alignment horizontal="center"/>
    </xf>
    <xf numFmtId="164" fontId="6" fillId="0" borderId="40" xfId="3" applyNumberFormat="1" applyFont="1" applyFill="1" applyBorder="1" applyAlignment="1">
      <alignment horizontal="center"/>
    </xf>
    <xf numFmtId="164" fontId="6" fillId="0" borderId="26" xfId="0" applyNumberFormat="1" applyFont="1" applyFill="1" applyBorder="1" applyAlignment="1">
      <alignment horizontal="right"/>
    </xf>
    <xf numFmtId="164" fontId="6" fillId="0" borderId="13" xfId="0" applyNumberFormat="1" applyFont="1" applyFill="1" applyBorder="1" applyAlignment="1">
      <alignment horizontal="right"/>
    </xf>
    <xf numFmtId="164" fontId="6" fillId="0" borderId="25" xfId="0" applyNumberFormat="1" applyFont="1" applyFill="1" applyBorder="1" applyAlignment="1">
      <alignment horizontal="right"/>
    </xf>
    <xf numFmtId="164" fontId="6" fillId="0" borderId="7" xfId="3" applyNumberFormat="1" applyFont="1" applyFill="1" applyBorder="1" applyAlignment="1">
      <alignment horizontal="center"/>
    </xf>
    <xf numFmtId="164" fontId="11" fillId="0" borderId="0" xfId="0" applyNumberFormat="1" applyFont="1" applyFill="1" applyBorder="1" applyAlignment="1"/>
    <xf numFmtId="164" fontId="11" fillId="0" borderId="0" xfId="0" applyNumberFormat="1" applyFont="1" applyFill="1" applyBorder="1" applyAlignment="1">
      <alignment horizontal="right"/>
    </xf>
    <xf numFmtId="164" fontId="6" fillId="0" borderId="25" xfId="3" applyNumberFormat="1" applyFont="1" applyFill="1" applyBorder="1" applyAlignment="1">
      <alignment horizontal="center"/>
    </xf>
    <xf numFmtId="164" fontId="6" fillId="0" borderId="30" xfId="3" applyNumberFormat="1" applyFont="1" applyFill="1" applyBorder="1" applyAlignment="1">
      <alignment horizontal="center"/>
    </xf>
    <xf numFmtId="164" fontId="17" fillId="0" borderId="0" xfId="0" applyNumberFormat="1" applyFont="1" applyFill="1" applyBorder="1" applyAlignment="1"/>
    <xf numFmtId="164" fontId="11" fillId="0" borderId="26" xfId="0" applyNumberFormat="1" applyFont="1" applyFill="1" applyBorder="1" applyAlignment="1">
      <alignment horizontal="right"/>
    </xf>
    <xf numFmtId="164" fontId="12" fillId="0" borderId="0" xfId="0" applyNumberFormat="1" applyFont="1" applyFill="1" applyBorder="1" applyAlignment="1"/>
    <xf numFmtId="164" fontId="18" fillId="0" borderId="0" xfId="0" applyNumberFormat="1" applyFont="1" applyFill="1" applyBorder="1" applyAlignment="1">
      <alignment horizontal="left"/>
    </xf>
    <xf numFmtId="164" fontId="8" fillId="0" borderId="25" xfId="3" applyNumberFormat="1" applyFont="1" applyFill="1" applyBorder="1" applyAlignment="1">
      <alignment horizontal="center"/>
    </xf>
    <xf numFmtId="164" fontId="8" fillId="0" borderId="26" xfId="3" applyNumberFormat="1" applyFont="1" applyFill="1" applyBorder="1" applyAlignment="1">
      <alignment horizontal="center"/>
    </xf>
    <xf numFmtId="164" fontId="8" fillId="0" borderId="0" xfId="3" applyNumberFormat="1" applyFont="1" applyFill="1" applyBorder="1" applyAlignment="1">
      <alignment horizontal="center"/>
    </xf>
    <xf numFmtId="164" fontId="8" fillId="0" borderId="13" xfId="3" applyNumberFormat="1" applyFont="1" applyFill="1" applyBorder="1" applyAlignment="1">
      <alignment horizontal="center"/>
    </xf>
    <xf numFmtId="164" fontId="8" fillId="0" borderId="40" xfId="3" applyNumberFormat="1" applyFont="1" applyFill="1" applyBorder="1" applyAlignment="1">
      <alignment horizontal="center"/>
    </xf>
    <xf numFmtId="164" fontId="12" fillId="0" borderId="0" xfId="0" applyNumberFormat="1" applyFont="1" applyFill="1" applyBorder="1" applyAlignment="1">
      <alignment horizontal="left"/>
    </xf>
    <xf numFmtId="164" fontId="10" fillId="0" borderId="25" xfId="0" applyNumberFormat="1" applyFont="1" applyFill="1" applyBorder="1" applyAlignment="1">
      <alignment horizontal="right"/>
    </xf>
    <xf numFmtId="164" fontId="10" fillId="0" borderId="13" xfId="0" applyNumberFormat="1" applyFont="1" applyFill="1" applyBorder="1" applyAlignment="1">
      <alignment horizontal="right"/>
    </xf>
    <xf numFmtId="164" fontId="10" fillId="0" borderId="40" xfId="0" applyNumberFormat="1" applyFont="1" applyFill="1" applyBorder="1" applyAlignment="1">
      <alignment horizontal="right"/>
    </xf>
    <xf numFmtId="164" fontId="10" fillId="0" borderId="0" xfId="0" applyNumberFormat="1" applyFont="1" applyFill="1" applyBorder="1" applyAlignment="1">
      <alignment horizontal="right"/>
    </xf>
    <xf numFmtId="164" fontId="10" fillId="0" borderId="7" xfId="0" applyNumberFormat="1" applyFont="1" applyFill="1" applyBorder="1" applyAlignment="1">
      <alignment horizontal="right"/>
    </xf>
    <xf numFmtId="164" fontId="19" fillId="0" borderId="0" xfId="0" applyNumberFormat="1" applyFont="1" applyFill="1" applyBorder="1" applyAlignment="1">
      <alignment horizontal="left"/>
    </xf>
    <xf numFmtId="164" fontId="10" fillId="0" borderId="25" xfId="3" applyNumberFormat="1" applyFont="1" applyFill="1" applyBorder="1" applyAlignment="1">
      <alignment horizontal="center"/>
    </xf>
    <xf numFmtId="164" fontId="10" fillId="0" borderId="26" xfId="3" applyNumberFormat="1" applyFont="1" applyFill="1" applyBorder="1" applyAlignment="1">
      <alignment horizontal="center"/>
    </xf>
    <xf numFmtId="164" fontId="10" fillId="0" borderId="40" xfId="3" applyNumberFormat="1" applyFont="1" applyFill="1" applyBorder="1" applyAlignment="1">
      <alignment horizontal="center"/>
    </xf>
    <xf numFmtId="43" fontId="8" fillId="0" borderId="7" xfId="3" applyFont="1" applyFill="1" applyBorder="1" applyAlignment="1">
      <alignment horizontal="right"/>
    </xf>
    <xf numFmtId="164" fontId="6" fillId="0" borderId="7" xfId="0" applyNumberFormat="1" applyFont="1" applyFill="1" applyBorder="1" applyAlignment="1"/>
    <xf numFmtId="164" fontId="6" fillId="0" borderId="20" xfId="3" applyNumberFormat="1" applyFont="1" applyFill="1" applyBorder="1" applyAlignment="1">
      <alignment horizontal="center"/>
    </xf>
    <xf numFmtId="164" fontId="6" fillId="0" borderId="21" xfId="3" applyNumberFormat="1" applyFont="1" applyFill="1" applyBorder="1" applyAlignment="1">
      <alignment horizontal="center"/>
    </xf>
    <xf numFmtId="164" fontId="6" fillId="0" borderId="41" xfId="3" applyNumberFormat="1" applyFont="1" applyFill="1" applyBorder="1" applyAlignment="1">
      <alignment horizontal="center"/>
    </xf>
    <xf numFmtId="43" fontId="6" fillId="0" borderId="7" xfId="3" applyFont="1" applyFill="1" applyBorder="1" applyAlignment="1">
      <alignment horizontal="center"/>
    </xf>
    <xf numFmtId="164" fontId="6" fillId="0" borderId="0" xfId="0" applyNumberFormat="1" applyFont="1" applyFill="1" applyAlignment="1"/>
    <xf numFmtId="164" fontId="8" fillId="0" borderId="23" xfId="0" applyNumberFormat="1" applyFont="1" applyFill="1" applyBorder="1" applyAlignment="1"/>
    <xf numFmtId="164" fontId="6" fillId="0" borderId="16" xfId="0" applyNumberFormat="1" applyFont="1" applyFill="1" applyBorder="1" applyAlignment="1"/>
    <xf numFmtId="164" fontId="8" fillId="0" borderId="16" xfId="0" applyNumberFormat="1" applyFont="1" applyFill="1" applyBorder="1" applyAlignment="1"/>
    <xf numFmtId="164" fontId="12" fillId="0" borderId="15" xfId="0" applyNumberFormat="1" applyFont="1" applyFill="1" applyBorder="1" applyAlignment="1">
      <alignment horizontal="right"/>
    </xf>
    <xf numFmtId="164" fontId="6" fillId="0" borderId="20" xfId="0" applyNumberFormat="1" applyFont="1" applyFill="1" applyBorder="1" applyAlignment="1">
      <alignment horizontal="right"/>
    </xf>
    <xf numFmtId="164" fontId="6" fillId="0" borderId="18" xfId="0" applyNumberFormat="1" applyFont="1" applyFill="1" applyBorder="1" applyAlignment="1">
      <alignment horizontal="right"/>
    </xf>
    <xf numFmtId="164" fontId="8" fillId="0" borderId="42" xfId="0" applyNumberFormat="1" applyFont="1" applyFill="1" applyBorder="1" applyAlignment="1"/>
    <xf numFmtId="164" fontId="6" fillId="0" borderId="43" xfId="0" applyNumberFormat="1" applyFont="1" applyFill="1" applyBorder="1" applyAlignment="1"/>
    <xf numFmtId="164" fontId="8" fillId="0" borderId="43" xfId="0" applyNumberFormat="1" applyFont="1" applyFill="1" applyBorder="1" applyAlignment="1"/>
    <xf numFmtId="164" fontId="11" fillId="0" borderId="43" xfId="0" applyNumberFormat="1" applyFont="1" applyFill="1" applyBorder="1" applyAlignment="1"/>
    <xf numFmtId="164" fontId="12" fillId="0" borderId="44" xfId="0" applyNumberFormat="1" applyFont="1" applyFill="1" applyBorder="1" applyAlignment="1">
      <alignment horizontal="right"/>
    </xf>
    <xf numFmtId="164" fontId="6" fillId="0" borderId="45" xfId="3" applyNumberFormat="1" applyFont="1" applyFill="1" applyBorder="1" applyAlignment="1">
      <alignment horizontal="center"/>
    </xf>
    <xf numFmtId="164" fontId="6" fillId="0" borderId="44" xfId="3" applyNumberFormat="1" applyFont="1" applyFill="1" applyBorder="1" applyAlignment="1">
      <alignment horizontal="center"/>
    </xf>
    <xf numFmtId="164" fontId="6" fillId="0" borderId="46" xfId="3" applyNumberFormat="1" applyFont="1" applyFill="1" applyBorder="1" applyAlignment="1">
      <alignment horizontal="center"/>
    </xf>
    <xf numFmtId="164" fontId="8" fillId="0" borderId="31" xfId="0" applyNumberFormat="1" applyFont="1" applyFill="1" applyBorder="1" applyAlignment="1"/>
    <xf numFmtId="164" fontId="12" fillId="0" borderId="6" xfId="0" applyNumberFormat="1" applyFont="1" applyFill="1" applyBorder="1" applyAlignment="1">
      <alignment horizontal="right"/>
    </xf>
    <xf numFmtId="164" fontId="8" fillId="0" borderId="30" xfId="3" applyNumberFormat="1" applyFont="1" applyFill="1" applyBorder="1" applyAlignment="1">
      <alignment horizontal="center"/>
    </xf>
    <xf numFmtId="164" fontId="8" fillId="0" borderId="7" xfId="3" applyNumberFormat="1" applyFont="1" applyFill="1" applyBorder="1" applyAlignment="1">
      <alignment horizontal="center"/>
    </xf>
    <xf numFmtId="164" fontId="8" fillId="0" borderId="30" xfId="0" applyNumberFormat="1" applyFont="1" applyFill="1" applyBorder="1" applyAlignment="1">
      <alignment horizontal="right"/>
    </xf>
    <xf numFmtId="164" fontId="8" fillId="0" borderId="0" xfId="0" applyNumberFormat="1" applyFont="1" applyFill="1" applyBorder="1" applyAlignment="1">
      <alignment horizontal="left"/>
    </xf>
    <xf numFmtId="164" fontId="16" fillId="0" borderId="26" xfId="0" applyNumberFormat="1" applyFont="1" applyFill="1" applyBorder="1" applyAlignment="1">
      <alignment horizontal="right"/>
    </xf>
    <xf numFmtId="164" fontId="17" fillId="0" borderId="26" xfId="0" applyNumberFormat="1" applyFont="1" applyFill="1" applyBorder="1" applyAlignment="1">
      <alignment horizontal="right"/>
    </xf>
    <xf numFmtId="164" fontId="6" fillId="0" borderId="40" xfId="0" applyNumberFormat="1" applyFont="1" applyFill="1" applyBorder="1" applyAlignment="1">
      <alignment horizontal="right"/>
    </xf>
    <xf numFmtId="164" fontId="9" fillId="0" borderId="0" xfId="0" applyNumberFormat="1" applyFont="1" applyFill="1" applyAlignment="1"/>
    <xf numFmtId="164" fontId="9" fillId="0" borderId="26" xfId="0" applyNumberFormat="1" applyFont="1" applyFill="1" applyBorder="1" applyAlignment="1">
      <alignment horizontal="right"/>
    </xf>
    <xf numFmtId="164" fontId="10" fillId="0" borderId="30" xfId="0" applyNumberFormat="1" applyFont="1" applyFill="1" applyBorder="1" applyAlignment="1">
      <alignment horizontal="right"/>
    </xf>
    <xf numFmtId="164" fontId="12" fillId="0" borderId="0" xfId="0" applyNumberFormat="1" applyFont="1" applyFill="1" applyBorder="1" applyAlignment="1">
      <alignment horizontal="left" indent="1"/>
    </xf>
    <xf numFmtId="164" fontId="6" fillId="0" borderId="30" xfId="0" applyNumberFormat="1" applyFont="1" applyFill="1" applyBorder="1" applyAlignment="1">
      <alignment horizontal="right"/>
    </xf>
    <xf numFmtId="164" fontId="12" fillId="0" borderId="0" xfId="0" applyNumberFormat="1" applyFont="1" applyFill="1" applyBorder="1" applyAlignment="1">
      <alignment horizontal="right"/>
    </xf>
    <xf numFmtId="164" fontId="11" fillId="0" borderId="0" xfId="0" applyNumberFormat="1" applyFont="1" applyFill="1" applyBorder="1" applyAlignment="1">
      <alignment horizontal="left"/>
    </xf>
    <xf numFmtId="164" fontId="11" fillId="0" borderId="0" xfId="0" applyNumberFormat="1" applyFont="1" applyFill="1" applyBorder="1" applyAlignment="1">
      <alignment horizontal="left" indent="1"/>
    </xf>
    <xf numFmtId="164" fontId="8" fillId="0" borderId="25" xfId="8" applyNumberFormat="1" applyFont="1" applyFill="1" applyBorder="1" applyProtection="1"/>
    <xf numFmtId="164" fontId="10" fillId="0" borderId="25" xfId="8" applyNumberFormat="1" applyFont="1" applyFill="1" applyBorder="1" applyProtection="1"/>
    <xf numFmtId="164" fontId="8" fillId="0" borderId="25" xfId="3" applyNumberFormat="1" applyFont="1" applyFill="1" applyBorder="1" applyAlignment="1">
      <alignment horizontal="right"/>
    </xf>
    <xf numFmtId="164" fontId="12" fillId="0" borderId="0" xfId="0" applyNumberFormat="1" applyFont="1" applyFill="1" applyBorder="1" applyAlignment="1">
      <alignment horizontal="left" indent="2"/>
    </xf>
    <xf numFmtId="164" fontId="10" fillId="0" borderId="20" xfId="0" applyNumberFormat="1" applyFont="1" applyFill="1" applyBorder="1" applyAlignment="1">
      <alignment horizontal="right"/>
    </xf>
    <xf numFmtId="164" fontId="10" fillId="0" borderId="21" xfId="0" applyNumberFormat="1" applyFont="1" applyFill="1" applyBorder="1" applyAlignment="1">
      <alignment horizontal="right"/>
    </xf>
    <xf numFmtId="164" fontId="10" fillId="0" borderId="22" xfId="0" applyNumberFormat="1" applyFont="1" applyFill="1" applyBorder="1" applyAlignment="1">
      <alignment horizontal="right"/>
    </xf>
    <xf numFmtId="164" fontId="6" fillId="0" borderId="42" xfId="0" applyNumberFormat="1" applyFont="1" applyFill="1" applyBorder="1" applyAlignment="1"/>
    <xf numFmtId="164" fontId="6" fillId="0" borderId="44" xfId="0" applyNumberFormat="1" applyFont="1" applyFill="1" applyBorder="1" applyAlignment="1"/>
    <xf numFmtId="164" fontId="6" fillId="0" borderId="48" xfId="0" applyNumberFormat="1" applyFont="1" applyFill="1" applyBorder="1" applyAlignment="1"/>
    <xf numFmtId="164" fontId="6" fillId="0" borderId="36" xfId="0" applyNumberFormat="1" applyFont="1" applyFill="1" applyBorder="1" applyAlignment="1"/>
    <xf numFmtId="164" fontId="6" fillId="0" borderId="37" xfId="0" applyNumberFormat="1" applyFont="1" applyFill="1" applyBorder="1" applyAlignment="1"/>
    <xf numFmtId="164" fontId="8" fillId="0" borderId="37" xfId="0" applyNumberFormat="1" applyFont="1" applyFill="1" applyBorder="1" applyAlignment="1">
      <alignment horizontal="left"/>
    </xf>
    <xf numFmtId="164" fontId="6" fillId="0" borderId="51" xfId="0" applyNumberFormat="1" applyFont="1" applyFill="1" applyBorder="1" applyAlignment="1"/>
    <xf numFmtId="164" fontId="6" fillId="0" borderId="38" xfId="0" applyNumberFormat="1" applyFont="1" applyFill="1" applyBorder="1" applyAlignment="1"/>
    <xf numFmtId="164" fontId="6" fillId="0" borderId="52" xfId="0" applyNumberFormat="1" applyFont="1" applyFill="1" applyBorder="1" applyAlignment="1"/>
    <xf numFmtId="164" fontId="8" fillId="0" borderId="51" xfId="0" applyNumberFormat="1" applyFont="1" applyFill="1" applyBorder="1" applyAlignment="1">
      <alignment horizontal="right"/>
    </xf>
    <xf numFmtId="164" fontId="6" fillId="0" borderId="7" xfId="3" applyNumberFormat="1" applyFont="1" applyFill="1" applyBorder="1" applyAlignment="1"/>
    <xf numFmtId="164" fontId="6" fillId="0" borderId="0" xfId="3" applyNumberFormat="1" applyFont="1" applyFill="1" applyBorder="1" applyAlignment="1"/>
    <xf numFmtId="164" fontId="6" fillId="0" borderId="7" xfId="0" applyNumberFormat="1" applyFont="1" applyFill="1" applyBorder="1" applyAlignment="1">
      <alignment horizontal="left"/>
    </xf>
    <xf numFmtId="164" fontId="6" fillId="0" borderId="0" xfId="0" applyNumberFormat="1" applyFont="1" applyFill="1" applyBorder="1" applyAlignment="1">
      <alignment horizontal="left"/>
    </xf>
    <xf numFmtId="164" fontId="6" fillId="0" borderId="26" xfId="0" applyNumberFormat="1" applyFont="1" applyFill="1" applyBorder="1" applyAlignment="1">
      <alignment horizontal="left"/>
    </xf>
    <xf numFmtId="164" fontId="6" fillId="0" borderId="13" xfId="0" applyNumberFormat="1" applyFont="1" applyFill="1" applyBorder="1" applyAlignment="1"/>
    <xf numFmtId="164" fontId="6" fillId="0" borderId="40" xfId="0" applyNumberFormat="1" applyFont="1" applyFill="1" applyBorder="1" applyAlignment="1"/>
    <xf numFmtId="164" fontId="8" fillId="0" borderId="7" xfId="0" applyNumberFormat="1" applyFont="1" applyFill="1" applyBorder="1" applyAlignment="1">
      <alignment horizontal="left" indent="1"/>
    </xf>
    <xf numFmtId="164" fontId="8" fillId="0" borderId="0" xfId="0" applyNumberFormat="1" applyFont="1" applyFill="1" applyBorder="1" applyAlignment="1">
      <alignment horizontal="left" indent="1"/>
    </xf>
    <xf numFmtId="164" fontId="8" fillId="0" borderId="26" xfId="0" applyNumberFormat="1" applyFont="1" applyFill="1" applyBorder="1" applyAlignment="1"/>
    <xf numFmtId="164" fontId="8" fillId="0" borderId="30" xfId="0" applyNumberFormat="1" applyFont="1" applyFill="1" applyBorder="1" applyAlignment="1"/>
    <xf numFmtId="164" fontId="9" fillId="0" borderId="25" xfId="0" applyNumberFormat="1" applyFont="1" applyFill="1" applyBorder="1" applyAlignment="1">
      <alignment horizontal="right"/>
    </xf>
    <xf numFmtId="164" fontId="6" fillId="0" borderId="26" xfId="0" applyNumberFormat="1" applyFont="1" applyFill="1" applyBorder="1" applyAlignment="1"/>
    <xf numFmtId="164" fontId="6" fillId="0" borderId="30" xfId="0" applyNumberFormat="1" applyFont="1" applyFill="1" applyBorder="1" applyAlignment="1"/>
    <xf numFmtId="164" fontId="8" fillId="0" borderId="0" xfId="0" applyNumberFormat="1" applyFont="1" applyFill="1" applyAlignment="1">
      <alignment horizontal="left"/>
    </xf>
    <xf numFmtId="164" fontId="6" fillId="0" borderId="53" xfId="0" applyNumberFormat="1" applyFont="1" applyFill="1" applyBorder="1" applyAlignment="1"/>
    <xf numFmtId="164" fontId="8" fillId="0" borderId="17" xfId="0" applyNumberFormat="1" applyFont="1" applyFill="1" applyBorder="1" applyAlignment="1"/>
    <xf numFmtId="164" fontId="8" fillId="0" borderId="18" xfId="0" applyNumberFormat="1" applyFont="1" applyFill="1" applyBorder="1" applyAlignment="1"/>
    <xf numFmtId="164" fontId="8" fillId="0" borderId="20" xfId="0" applyNumberFormat="1" applyFont="1" applyFill="1" applyBorder="1" applyAlignment="1">
      <alignment horizontal="right"/>
    </xf>
    <xf numFmtId="164" fontId="8" fillId="0" borderId="21" xfId="0" applyNumberFormat="1" applyFont="1" applyFill="1" applyBorder="1" applyAlignment="1">
      <alignment horizontal="right"/>
    </xf>
    <xf numFmtId="164" fontId="8" fillId="0" borderId="41" xfId="0" applyNumberFormat="1" applyFont="1" applyFill="1" applyBorder="1" applyAlignment="1">
      <alignment horizontal="right"/>
    </xf>
    <xf numFmtId="164" fontId="10" fillId="0" borderId="0" xfId="0" applyNumberFormat="1" applyFont="1" applyFill="1" applyBorder="1" applyAlignment="1">
      <alignment horizontal="left"/>
    </xf>
    <xf numFmtId="164" fontId="10" fillId="0" borderId="0" xfId="0" applyNumberFormat="1" applyFont="1" applyFill="1" applyAlignment="1">
      <alignment horizontal="left"/>
    </xf>
    <xf numFmtId="164" fontId="10" fillId="0" borderId="0" xfId="0" applyNumberFormat="1" applyFont="1" applyFill="1" applyAlignment="1">
      <alignment horizontal="left" vertical="center"/>
    </xf>
    <xf numFmtId="0" fontId="5" fillId="0" borderId="0" xfId="0" applyFont="1" applyFill="1" applyBorder="1" applyAlignment="1"/>
    <xf numFmtId="0" fontId="6" fillId="0" borderId="6" xfId="0" applyFont="1" applyFill="1" applyBorder="1" applyAlignment="1"/>
    <xf numFmtId="0" fontId="8" fillId="0" borderId="6" xfId="0" applyFont="1" applyFill="1" applyBorder="1" applyAlignment="1"/>
    <xf numFmtId="0" fontId="6" fillId="0" borderId="0" xfId="0" applyFont="1" applyFill="1" applyBorder="1" applyAlignment="1"/>
    <xf numFmtId="3" fontId="8" fillId="0" borderId="6" xfId="0" applyNumberFormat="1" applyFont="1" applyFill="1" applyBorder="1" applyAlignment="1"/>
    <xf numFmtId="0" fontId="8" fillId="0" borderId="0" xfId="0" applyFont="1" applyFill="1" applyBorder="1" applyAlignment="1"/>
    <xf numFmtId="0" fontId="8" fillId="0" borderId="0" xfId="0" applyFont="1" applyFill="1" applyAlignment="1"/>
    <xf numFmtId="0" fontId="6" fillId="0" borderId="36" xfId="0" applyFont="1" applyFill="1" applyBorder="1" applyAlignment="1"/>
    <xf numFmtId="0" fontId="6" fillId="0" borderId="38" xfId="0" applyFont="1" applyFill="1" applyBorder="1" applyAlignment="1">
      <alignment horizontal="right"/>
    </xf>
    <xf numFmtId="0" fontId="6" fillId="0" borderId="7" xfId="0" applyFont="1" applyFill="1" applyBorder="1" applyAlignment="1">
      <alignment horizontal="center"/>
    </xf>
    <xf numFmtId="43" fontId="8" fillId="0" borderId="0" xfId="3" applyFont="1" applyFill="1" applyBorder="1" applyAlignment="1"/>
    <xf numFmtId="0" fontId="6" fillId="0" borderId="7" xfId="0" applyFont="1" applyFill="1" applyBorder="1" applyAlignment="1"/>
    <xf numFmtId="0" fontId="6" fillId="0" borderId="26" xfId="0" applyFont="1" applyFill="1" applyBorder="1" applyAlignment="1">
      <alignment horizontal="right"/>
    </xf>
    <xf numFmtId="0" fontId="8" fillId="0" borderId="7" xfId="0" applyFont="1" applyFill="1" applyBorder="1" applyAlignment="1"/>
    <xf numFmtId="0" fontId="6" fillId="0" borderId="13" xfId="0" applyFont="1" applyFill="1" applyBorder="1" applyAlignment="1">
      <alignment horizontal="right"/>
    </xf>
    <xf numFmtId="0" fontId="6" fillId="0" borderId="0" xfId="0" applyFont="1" applyFill="1" applyBorder="1" applyAlignment="1">
      <alignment horizontal="right"/>
    </xf>
    <xf numFmtId="0" fontId="6" fillId="0" borderId="14" xfId="0" applyFont="1" applyFill="1" applyBorder="1" applyAlignment="1">
      <alignment horizontal="right"/>
    </xf>
    <xf numFmtId="3" fontId="6" fillId="0" borderId="14" xfId="0" applyNumberFormat="1" applyFont="1" applyFill="1" applyBorder="1" applyAlignment="1">
      <alignment horizontal="right"/>
    </xf>
    <xf numFmtId="3" fontId="6" fillId="0" borderId="24" xfId="0" applyNumberFormat="1" applyFont="1" applyFill="1" applyBorder="1" applyAlignment="1">
      <alignment horizontal="right"/>
    </xf>
    <xf numFmtId="0" fontId="17" fillId="0" borderId="17" xfId="0" applyNumberFormat="1" applyFont="1" applyFill="1" applyBorder="1" applyAlignment="1"/>
    <xf numFmtId="0" fontId="6" fillId="0" borderId="18" xfId="0" applyFont="1" applyFill="1" applyBorder="1" applyAlignment="1"/>
    <xf numFmtId="0" fontId="6" fillId="0" borderId="21" xfId="0" applyFont="1" applyFill="1" applyBorder="1" applyAlignment="1">
      <alignment horizontal="right"/>
    </xf>
    <xf numFmtId="0" fontId="6" fillId="0" borderId="19" xfId="0" applyFont="1" applyFill="1" applyBorder="1" applyAlignment="1">
      <alignment horizontal="right"/>
    </xf>
    <xf numFmtId="0" fontId="6" fillId="0" borderId="20" xfId="0" applyFont="1" applyFill="1" applyBorder="1" applyAlignment="1">
      <alignment horizontal="right"/>
    </xf>
    <xf numFmtId="2" fontId="6" fillId="0" borderId="7" xfId="0" applyNumberFormat="1" applyFont="1" applyFill="1" applyBorder="1" applyAlignment="1"/>
    <xf numFmtId="0" fontId="17" fillId="0" borderId="7" xfId="0" applyNumberFormat="1" applyFont="1" applyFill="1" applyBorder="1" applyAlignment="1"/>
    <xf numFmtId="0" fontId="6" fillId="0" borderId="24" xfId="0" applyFont="1" applyFill="1" applyBorder="1" applyAlignment="1">
      <alignment horizontal="right"/>
    </xf>
    <xf numFmtId="0" fontId="6" fillId="0" borderId="25" xfId="0" applyFont="1" applyFill="1" applyBorder="1" applyAlignment="1">
      <alignment horizontal="right"/>
    </xf>
    <xf numFmtId="0" fontId="11" fillId="0" borderId="7" xfId="0" applyNumberFormat="1" applyFont="1" applyFill="1" applyBorder="1" applyAlignment="1">
      <alignment horizontal="left"/>
    </xf>
    <xf numFmtId="37" fontId="11" fillId="0" borderId="0" xfId="0" applyNumberFormat="1" applyFont="1" applyFill="1" applyBorder="1" applyAlignment="1"/>
    <xf numFmtId="37" fontId="11" fillId="0" borderId="0" xfId="0" applyNumberFormat="1" applyFont="1" applyFill="1" applyBorder="1" applyAlignment="1">
      <alignment horizontal="right"/>
    </xf>
    <xf numFmtId="164" fontId="8" fillId="0" borderId="7" xfId="3" applyNumberFormat="1" applyFont="1" applyFill="1" applyBorder="1" applyAlignment="1"/>
    <xf numFmtId="37" fontId="12" fillId="0" borderId="0" xfId="0" quotePrefix="1" applyNumberFormat="1" applyFont="1" applyFill="1" applyBorder="1" applyAlignment="1">
      <alignment horizontal="right"/>
    </xf>
    <xf numFmtId="0" fontId="10" fillId="0" borderId="0" xfId="0" quotePrefix="1" applyFont="1" applyFill="1" applyBorder="1" applyAlignment="1">
      <alignment horizontal="right"/>
    </xf>
    <xf numFmtId="0" fontId="8" fillId="0" borderId="7" xfId="0" applyNumberFormat="1" applyFont="1" applyFill="1" applyBorder="1" applyAlignment="1">
      <alignment horizontal="left"/>
    </xf>
    <xf numFmtId="37" fontId="8" fillId="0" borderId="0" xfId="0" applyNumberFormat="1" applyFont="1" applyFill="1" applyBorder="1" applyAlignment="1"/>
    <xf numFmtId="37" fontId="8" fillId="0" borderId="0" xfId="0" applyNumberFormat="1" applyFont="1" applyFill="1" applyBorder="1" applyAlignment="1">
      <alignment horizontal="left"/>
    </xf>
    <xf numFmtId="37" fontId="10" fillId="0" borderId="0" xfId="0" applyNumberFormat="1" applyFont="1" applyFill="1" applyBorder="1" applyAlignment="1">
      <alignment horizontal="right"/>
    </xf>
    <xf numFmtId="0" fontId="11" fillId="0" borderId="0" xfId="0" applyNumberFormat="1" applyFont="1" applyFill="1" applyBorder="1" applyAlignment="1">
      <alignment horizontal="right"/>
    </xf>
    <xf numFmtId="0" fontId="8" fillId="0" borderId="0" xfId="0" applyNumberFormat="1" applyFont="1" applyFill="1" applyBorder="1" applyAlignment="1"/>
    <xf numFmtId="37" fontId="10" fillId="0" borderId="0" xfId="0" quotePrefix="1" applyNumberFormat="1" applyFont="1" applyFill="1" applyBorder="1" applyAlignment="1">
      <alignment horizontal="right"/>
    </xf>
    <xf numFmtId="0" fontId="11" fillId="0" borderId="17" xfId="0" applyNumberFormat="1" applyFont="1" applyFill="1" applyBorder="1" applyAlignment="1">
      <alignment horizontal="left"/>
    </xf>
    <xf numFmtId="37" fontId="11" fillId="0" borderId="18" xfId="0" applyNumberFormat="1" applyFont="1" applyFill="1" applyBorder="1" applyAlignment="1"/>
    <xf numFmtId="0" fontId="8" fillId="0" borderId="18" xfId="0" applyFont="1" applyFill="1" applyBorder="1" applyAlignment="1"/>
    <xf numFmtId="37" fontId="11" fillId="0" borderId="21" xfId="0" applyNumberFormat="1" applyFont="1" applyFill="1" applyBorder="1" applyAlignment="1">
      <alignment horizontal="right"/>
    </xf>
    <xf numFmtId="37" fontId="12" fillId="0" borderId="26" xfId="0" quotePrefix="1" applyNumberFormat="1" applyFont="1" applyFill="1" applyBorder="1" applyAlignment="1">
      <alignment horizontal="right"/>
    </xf>
    <xf numFmtId="43" fontId="8" fillId="0" borderId="0" xfId="3" applyFont="1" applyFill="1" applyBorder="1" applyAlignment="1">
      <alignment horizontal="right"/>
    </xf>
    <xf numFmtId="0" fontId="11" fillId="0" borderId="7" xfId="0" applyNumberFormat="1" applyFont="1" applyFill="1" applyBorder="1" applyAlignment="1"/>
    <xf numFmtId="37" fontId="11" fillId="0" borderId="26" xfId="0" applyNumberFormat="1" applyFont="1" applyFill="1" applyBorder="1" applyAlignment="1">
      <alignment horizontal="right"/>
    </xf>
    <xf numFmtId="41" fontId="6" fillId="0" borderId="7" xfId="3" applyNumberFormat="1" applyFont="1" applyFill="1" applyBorder="1" applyAlignment="1">
      <alignment horizontal="center"/>
    </xf>
    <xf numFmtId="0" fontId="11" fillId="0" borderId="0" xfId="0" applyNumberFormat="1" applyFont="1" applyFill="1" applyBorder="1" applyAlignment="1">
      <alignment horizontal="left"/>
    </xf>
    <xf numFmtId="164" fontId="8" fillId="0" borderId="0" xfId="3" applyNumberFormat="1" applyFont="1" applyFill="1" applyBorder="1" applyAlignment="1">
      <alignment horizontal="right"/>
    </xf>
    <xf numFmtId="37" fontId="12" fillId="0" borderId="26" xfId="0" applyNumberFormat="1" applyFont="1" applyFill="1" applyBorder="1" applyAlignment="1">
      <alignment horizontal="right"/>
    </xf>
    <xf numFmtId="164" fontId="8" fillId="0" borderId="0" xfId="3" applyNumberFormat="1" applyFont="1" applyFill="1" applyBorder="1" applyAlignment="1"/>
    <xf numFmtId="0" fontId="12" fillId="0" borderId="7" xfId="0" applyNumberFormat="1" applyFont="1" applyFill="1" applyBorder="1" applyAlignment="1">
      <alignment horizontal="left" indent="1"/>
    </xf>
    <xf numFmtId="0" fontId="10" fillId="0" borderId="0" xfId="0" applyFont="1" applyFill="1" applyAlignment="1"/>
    <xf numFmtId="0" fontId="10" fillId="0" borderId="0" xfId="0" applyFont="1" applyFill="1" applyBorder="1" applyAlignment="1"/>
    <xf numFmtId="164" fontId="10" fillId="0" borderId="0" xfId="3" applyNumberFormat="1" applyFont="1" applyFill="1" applyBorder="1" applyAlignment="1">
      <alignment horizontal="center"/>
    </xf>
    <xf numFmtId="164" fontId="10" fillId="0" borderId="13" xfId="3" applyNumberFormat="1" applyFont="1" applyFill="1" applyBorder="1" applyAlignment="1">
      <alignment horizontal="center"/>
    </xf>
    <xf numFmtId="164" fontId="10" fillId="0" borderId="0" xfId="14" applyNumberFormat="1" applyFont="1" applyFill="1" applyBorder="1" applyAlignment="1">
      <alignment horizontal="center"/>
    </xf>
    <xf numFmtId="164" fontId="10" fillId="0" borderId="0" xfId="14" applyNumberFormat="1" applyFont="1" applyFill="1" applyBorder="1" applyAlignment="1"/>
    <xf numFmtId="164" fontId="10" fillId="0" borderId="13" xfId="14" applyNumberFormat="1" applyFont="1" applyFill="1" applyBorder="1" applyAlignment="1">
      <alignment horizontal="center"/>
    </xf>
    <xf numFmtId="164" fontId="8" fillId="0" borderId="0" xfId="14" applyNumberFormat="1" applyFont="1" applyFill="1" applyBorder="1" applyAlignment="1">
      <alignment horizontal="center"/>
    </xf>
    <xf numFmtId="164" fontId="8" fillId="0" borderId="13" xfId="14" applyNumberFormat="1" applyFont="1" applyFill="1" applyBorder="1" applyAlignment="1">
      <alignment horizontal="center"/>
    </xf>
    <xf numFmtId="0" fontId="11" fillId="0" borderId="7" xfId="0" applyNumberFormat="1" applyFont="1" applyFill="1" applyBorder="1" applyAlignment="1">
      <alignment horizontal="left" indent="1"/>
    </xf>
    <xf numFmtId="0" fontId="8" fillId="0" borderId="7" xfId="0" applyFont="1" applyFill="1" applyBorder="1" applyAlignment="1">
      <alignment horizontal="left"/>
    </xf>
    <xf numFmtId="0" fontId="8" fillId="0" borderId="0" xfId="0" applyFont="1" applyFill="1" applyBorder="1" applyAlignment="1">
      <alignment horizontal="left"/>
    </xf>
    <xf numFmtId="0" fontId="8" fillId="0" borderId="17" xfId="0" applyFont="1" applyFill="1" applyBorder="1" applyAlignment="1">
      <alignment horizontal="left"/>
    </xf>
    <xf numFmtId="0" fontId="8" fillId="0" borderId="18" xfId="0" applyFont="1" applyFill="1" applyBorder="1" applyAlignment="1">
      <alignment horizontal="left"/>
    </xf>
    <xf numFmtId="43" fontId="8" fillId="0" borderId="0" xfId="14" applyFont="1" applyFill="1" applyBorder="1" applyAlignment="1"/>
    <xf numFmtId="0" fontId="17" fillId="0" borderId="42" xfId="0" applyNumberFormat="1" applyFont="1" applyFill="1" applyBorder="1" applyAlignment="1"/>
    <xf numFmtId="0" fontId="8" fillId="0" borderId="43" xfId="0" applyFont="1" applyFill="1" applyBorder="1" applyAlignment="1"/>
    <xf numFmtId="37" fontId="11" fillId="0" borderId="43" xfId="0" applyNumberFormat="1" applyFont="1" applyFill="1" applyBorder="1" applyAlignment="1">
      <alignment horizontal="right"/>
    </xf>
    <xf numFmtId="164" fontId="6" fillId="0" borderId="47" xfId="14" applyNumberFormat="1" applyFont="1" applyFill="1" applyBorder="1" applyAlignment="1">
      <alignment horizontal="center"/>
    </xf>
    <xf numFmtId="164" fontId="6" fillId="0" borderId="43" xfId="14" applyNumberFormat="1" applyFont="1" applyFill="1" applyBorder="1" applyAlignment="1">
      <alignment horizontal="center"/>
    </xf>
    <xf numFmtId="164" fontId="6" fillId="0" borderId="45" xfId="14" applyNumberFormat="1" applyFont="1" applyFill="1" applyBorder="1" applyAlignment="1">
      <alignment horizontal="center"/>
    </xf>
    <xf numFmtId="164" fontId="6" fillId="0" borderId="46" xfId="14" applyNumberFormat="1" applyFont="1" applyFill="1" applyBorder="1" applyAlignment="1">
      <alignment horizontal="center"/>
    </xf>
    <xf numFmtId="164" fontId="8" fillId="0" borderId="26" xfId="14" applyNumberFormat="1" applyFont="1" applyFill="1" applyBorder="1" applyAlignment="1">
      <alignment horizontal="center"/>
    </xf>
    <xf numFmtId="37" fontId="11" fillId="0" borderId="43" xfId="0" applyNumberFormat="1" applyFont="1" applyFill="1" applyBorder="1" applyAlignment="1"/>
    <xf numFmtId="37" fontId="12" fillId="0" borderId="44" xfId="0" quotePrefix="1" applyNumberFormat="1" applyFont="1" applyFill="1" applyBorder="1" applyAlignment="1">
      <alignment horizontal="right"/>
    </xf>
    <xf numFmtId="164" fontId="6" fillId="0" borderId="43" xfId="0" applyNumberFormat="1" applyFont="1" applyFill="1" applyBorder="1" applyAlignment="1">
      <alignment horizontal="right"/>
    </xf>
    <xf numFmtId="164" fontId="6" fillId="0" borderId="45" xfId="0" applyNumberFormat="1" applyFont="1" applyFill="1" applyBorder="1" applyAlignment="1">
      <alignment horizontal="right"/>
    </xf>
    <xf numFmtId="164" fontId="6" fillId="0" borderId="47" xfId="0" applyNumberFormat="1" applyFont="1" applyFill="1" applyBorder="1" applyAlignment="1">
      <alignment horizontal="right"/>
    </xf>
    <xf numFmtId="164" fontId="6" fillId="0" borderId="46" xfId="0" applyNumberFormat="1" applyFont="1" applyFill="1" applyBorder="1" applyAlignment="1">
      <alignment horizontal="right"/>
    </xf>
    <xf numFmtId="41" fontId="6" fillId="0" borderId="0" xfId="0" applyNumberFormat="1" applyFont="1" applyFill="1" applyBorder="1" applyAlignment="1">
      <alignment horizontal="right"/>
    </xf>
    <xf numFmtId="0" fontId="10" fillId="0" borderId="0" xfId="0" quotePrefix="1" applyFont="1" applyFill="1" applyBorder="1" applyAlignment="1"/>
    <xf numFmtId="37" fontId="12" fillId="0" borderId="37" xfId="0" applyNumberFormat="1" applyFont="1" applyFill="1" applyBorder="1" applyAlignment="1"/>
    <xf numFmtId="164" fontId="11" fillId="0" borderId="0" xfId="14" applyNumberFormat="1" applyFont="1" applyFill="1" applyBorder="1" applyAlignment="1"/>
    <xf numFmtId="164" fontId="8" fillId="0" borderId="0" xfId="14" applyNumberFormat="1" applyFont="1" applyFill="1" applyBorder="1" applyAlignment="1"/>
    <xf numFmtId="41" fontId="21" fillId="0" borderId="0" xfId="0" applyNumberFormat="1" applyFont="1" applyFill="1" applyAlignment="1">
      <alignment horizontal="left" vertical="center" indent="1"/>
    </xf>
    <xf numFmtId="0" fontId="12" fillId="0" borderId="0" xfId="0" applyNumberFormat="1" applyFont="1" applyFill="1" applyBorder="1" applyAlignment="1"/>
    <xf numFmtId="164" fontId="21" fillId="0" borderId="0" xfId="0" applyNumberFormat="1" applyFont="1" applyFill="1" applyAlignment="1">
      <alignment vertical="center"/>
    </xf>
    <xf numFmtId="164" fontId="8" fillId="0" borderId="7" xfId="14" applyNumberFormat="1" applyFont="1" applyFill="1" applyBorder="1" applyAlignment="1"/>
    <xf numFmtId="165" fontId="8" fillId="0" borderId="7" xfId="0" applyNumberFormat="1" applyFont="1" applyFill="1" applyBorder="1" applyAlignment="1"/>
    <xf numFmtId="0" fontId="11" fillId="0" borderId="18" xfId="0" applyNumberFormat="1" applyFont="1" applyFill="1" applyBorder="1" applyAlignment="1"/>
    <xf numFmtId="164" fontId="8" fillId="0" borderId="18" xfId="0" applyNumberFormat="1" applyFont="1" applyFill="1" applyBorder="1" applyAlignment="1">
      <alignment horizontal="right"/>
    </xf>
    <xf numFmtId="0" fontId="17" fillId="0" borderId="23" xfId="0" applyNumberFormat="1" applyFont="1" applyFill="1" applyBorder="1" applyAlignment="1"/>
    <xf numFmtId="164" fontId="6" fillId="0" borderId="13" xfId="14" applyNumberFormat="1" applyFont="1" applyFill="1" applyBorder="1" applyAlignment="1">
      <alignment horizontal="center"/>
    </xf>
    <xf numFmtId="164" fontId="6" fillId="0" borderId="0" xfId="14" applyNumberFormat="1" applyFont="1" applyFill="1" applyBorder="1" applyAlignment="1">
      <alignment horizontal="center"/>
    </xf>
    <xf numFmtId="41" fontId="6" fillId="0" borderId="7" xfId="14" applyNumberFormat="1" applyFont="1" applyFill="1" applyBorder="1" applyAlignment="1">
      <alignment horizontal="center"/>
    </xf>
    <xf numFmtId="165" fontId="10" fillId="0" borderId="7" xfId="0" applyNumberFormat="1" applyFont="1" applyFill="1" applyBorder="1" applyAlignment="1"/>
    <xf numFmtId="37" fontId="12" fillId="0" borderId="0" xfId="0" applyNumberFormat="1" applyFont="1" applyFill="1" applyBorder="1" applyAlignment="1"/>
    <xf numFmtId="164" fontId="8" fillId="0" borderId="0" xfId="0" applyNumberFormat="1" applyFont="1" applyFill="1" applyBorder="1"/>
    <xf numFmtId="164" fontId="8" fillId="0" borderId="0" xfId="0" applyNumberFormat="1" applyFont="1" applyFill="1" applyBorder="1" applyAlignment="1">
      <alignment horizontal="center"/>
    </xf>
    <xf numFmtId="43" fontId="8" fillId="0" borderId="0" xfId="14" applyFont="1" applyFill="1" applyBorder="1"/>
    <xf numFmtId="164" fontId="8" fillId="0" borderId="0" xfId="14" applyNumberFormat="1" applyFont="1" applyFill="1" applyBorder="1"/>
    <xf numFmtId="167" fontId="8" fillId="0" borderId="0" xfId="0" applyNumberFormat="1" applyFont="1" applyFill="1" applyBorder="1"/>
    <xf numFmtId="43" fontId="8" fillId="0" borderId="0" xfId="14" applyNumberFormat="1" applyFont="1" applyFill="1" applyBorder="1"/>
    <xf numFmtId="167" fontId="8" fillId="0" borderId="0" xfId="14" applyNumberFormat="1" applyFont="1" applyFill="1" applyBorder="1"/>
    <xf numFmtId="43" fontId="8" fillId="0" borderId="0" xfId="0" applyNumberFormat="1" applyFont="1" applyFill="1" applyBorder="1"/>
    <xf numFmtId="43" fontId="8" fillId="0" borderId="0" xfId="14" applyFont="1" applyFill="1"/>
    <xf numFmtId="0" fontId="8" fillId="0" borderId="30" xfId="0" applyFont="1" applyFill="1" applyBorder="1"/>
    <xf numFmtId="0" fontId="6" fillId="0" borderId="36" xfId="0" applyFont="1" applyFill="1" applyBorder="1"/>
    <xf numFmtId="0" fontId="6" fillId="0" borderId="37" xfId="0" applyFont="1" applyFill="1" applyBorder="1"/>
    <xf numFmtId="0" fontId="6" fillId="0" borderId="37" xfId="0" applyFont="1" applyFill="1" applyBorder="1" applyAlignment="1">
      <alignment horizontal="center"/>
    </xf>
    <xf numFmtId="0" fontId="6" fillId="0" borderId="12" xfId="0" applyFont="1" applyFill="1" applyBorder="1" applyAlignment="1">
      <alignment horizontal="center"/>
    </xf>
    <xf numFmtId="0" fontId="6" fillId="0" borderId="0" xfId="0" applyFont="1" applyFill="1" applyBorder="1" applyAlignment="1">
      <alignment horizontal="center"/>
    </xf>
    <xf numFmtId="0" fontId="6" fillId="0" borderId="13" xfId="2" applyFont="1" applyFill="1" applyBorder="1" applyAlignment="1">
      <alignment horizontal="right"/>
    </xf>
    <xf numFmtId="0" fontId="6" fillId="0" borderId="18" xfId="0" applyFont="1" applyFill="1" applyBorder="1" applyAlignment="1">
      <alignment horizontal="center"/>
    </xf>
    <xf numFmtId="0" fontId="6" fillId="0" borderId="20" xfId="2" applyFont="1" applyFill="1" applyBorder="1" applyAlignment="1">
      <alignment horizontal="right"/>
    </xf>
    <xf numFmtId="0" fontId="6" fillId="0" borderId="20" xfId="0" applyFont="1" applyFill="1" applyBorder="1" applyAlignment="1">
      <alignment horizontal="center"/>
    </xf>
    <xf numFmtId="0" fontId="8" fillId="0" borderId="25" xfId="0" applyFont="1" applyFill="1" applyBorder="1" applyAlignment="1">
      <alignment horizontal="center"/>
    </xf>
    <xf numFmtId="0" fontId="10" fillId="0" borderId="0" xfId="0" applyFont="1" applyFill="1" applyBorder="1" applyAlignment="1">
      <alignment horizontal="center"/>
    </xf>
    <xf numFmtId="164" fontId="6" fillId="0" borderId="25" xfId="14" applyNumberFormat="1" applyFont="1" applyFill="1" applyBorder="1" applyAlignment="1">
      <alignment horizontal="right"/>
    </xf>
    <xf numFmtId="164" fontId="6" fillId="0" borderId="13" xfId="14" applyNumberFormat="1" applyFont="1" applyFill="1" applyBorder="1" applyAlignment="1">
      <alignment horizontal="right"/>
    </xf>
    <xf numFmtId="168" fontId="8" fillId="0" borderId="0" xfId="0" applyNumberFormat="1" applyFont="1" applyFill="1" applyAlignment="1">
      <alignment horizontal="right"/>
    </xf>
    <xf numFmtId="164" fontId="11" fillId="0" borderId="13" xfId="14" applyNumberFormat="1" applyFont="1" applyFill="1" applyBorder="1" applyAlignment="1">
      <alignment horizontal="right"/>
    </xf>
    <xf numFmtId="164" fontId="11" fillId="0" borderId="25" xfId="14" applyNumberFormat="1" applyFont="1" applyFill="1" applyBorder="1" applyAlignment="1">
      <alignment horizontal="right"/>
    </xf>
    <xf numFmtId="164" fontId="8" fillId="0" borderId="25" xfId="14" applyNumberFormat="1" applyFont="1" applyFill="1" applyBorder="1" applyAlignment="1">
      <alignment horizontal="right"/>
    </xf>
    <xf numFmtId="164" fontId="8" fillId="0" borderId="13" xfId="14" applyNumberFormat="1" applyFont="1" applyFill="1" applyBorder="1" applyAlignment="1">
      <alignment horizontal="right"/>
    </xf>
    <xf numFmtId="0" fontId="6" fillId="0" borderId="30" xfId="0" applyFont="1" applyFill="1" applyBorder="1"/>
    <xf numFmtId="164" fontId="17" fillId="0" borderId="13" xfId="14" applyNumberFormat="1" applyFont="1" applyFill="1" applyBorder="1" applyAlignment="1">
      <alignment horizontal="right"/>
    </xf>
    <xf numFmtId="164" fontId="17" fillId="0" borderId="25" xfId="14" applyNumberFormat="1" applyFont="1" applyFill="1" applyBorder="1" applyAlignment="1">
      <alignment horizontal="right"/>
    </xf>
    <xf numFmtId="0" fontId="8" fillId="0" borderId="0" xfId="0" quotePrefix="1" applyFont="1" applyFill="1" applyBorder="1" applyAlignment="1">
      <alignment horizontal="center"/>
    </xf>
    <xf numFmtId="0" fontId="17" fillId="0" borderId="0" xfId="0" applyNumberFormat="1" applyFont="1" applyFill="1" applyBorder="1" applyAlignment="1"/>
    <xf numFmtId="164" fontId="6" fillId="0" borderId="0" xfId="0" applyNumberFormat="1" applyFont="1" applyFill="1"/>
    <xf numFmtId="164" fontId="6" fillId="0" borderId="0" xfId="0" applyNumberFormat="1" applyFont="1" applyFill="1" applyBorder="1"/>
    <xf numFmtId="164" fontId="6" fillId="0" borderId="32" xfId="14" applyNumberFormat="1" applyFont="1" applyFill="1" applyBorder="1" applyAlignment="1">
      <alignment horizontal="right"/>
    </xf>
    <xf numFmtId="164" fontId="6" fillId="0" borderId="33" xfId="14" applyNumberFormat="1" applyFont="1" applyFill="1" applyBorder="1" applyAlignment="1">
      <alignment horizontal="right"/>
    </xf>
    <xf numFmtId="164" fontId="6" fillId="0" borderId="25" xfId="14" applyNumberFormat="1" applyFont="1" applyFill="1" applyBorder="1" applyAlignment="1">
      <alignment horizontal="center"/>
    </xf>
    <xf numFmtId="43" fontId="8" fillId="0" borderId="0" xfId="0" applyNumberFormat="1" applyFont="1" applyFill="1" applyAlignment="1">
      <alignment horizontal="right"/>
    </xf>
    <xf numFmtId="164" fontId="8" fillId="0" borderId="25" xfId="14" applyNumberFormat="1" applyFont="1" applyFill="1" applyBorder="1" applyAlignment="1">
      <alignment horizontal="center"/>
    </xf>
    <xf numFmtId="164" fontId="8" fillId="0" borderId="13" xfId="0" applyNumberFormat="1" applyFont="1" applyFill="1" applyBorder="1"/>
    <xf numFmtId="164" fontId="8" fillId="0" borderId="25" xfId="0" applyNumberFormat="1" applyFont="1" applyFill="1" applyBorder="1"/>
    <xf numFmtId="0" fontId="10" fillId="0" borderId="26" xfId="0" applyFont="1" applyFill="1" applyBorder="1" applyAlignment="1">
      <alignment horizontal="center"/>
    </xf>
    <xf numFmtId="164" fontId="8" fillId="0" borderId="26" xfId="14" applyNumberFormat="1" applyFont="1" applyFill="1" applyBorder="1" applyAlignment="1">
      <alignment horizontal="right"/>
    </xf>
    <xf numFmtId="0" fontId="8" fillId="0" borderId="6" xfId="0" applyFont="1" applyFill="1" applyBorder="1" applyAlignment="1">
      <alignment horizontal="center"/>
    </xf>
    <xf numFmtId="164" fontId="8" fillId="0" borderId="32" xfId="14" applyNumberFormat="1" applyFont="1" applyFill="1" applyBorder="1" applyAlignment="1">
      <alignment horizontal="right"/>
    </xf>
    <xf numFmtId="164" fontId="8" fillId="0" borderId="33" xfId="14" applyNumberFormat="1" applyFont="1" applyFill="1" applyBorder="1" applyAlignment="1">
      <alignment horizontal="right"/>
    </xf>
    <xf numFmtId="164" fontId="8" fillId="0" borderId="50" xfId="14" applyNumberFormat="1" applyFont="1" applyFill="1" applyBorder="1" applyAlignment="1">
      <alignment horizontal="right"/>
    </xf>
    <xf numFmtId="0" fontId="11" fillId="0" borderId="36" xfId="0" applyNumberFormat="1" applyFont="1" applyFill="1" applyBorder="1"/>
    <xf numFmtId="0" fontId="22" fillId="0" borderId="37" xfId="0" applyNumberFormat="1" applyFont="1" applyFill="1" applyBorder="1"/>
    <xf numFmtId="0" fontId="8" fillId="0" borderId="37" xfId="0" applyFont="1" applyFill="1" applyBorder="1"/>
    <xf numFmtId="0" fontId="8" fillId="0" borderId="37" xfId="0" applyFont="1" applyFill="1" applyBorder="1" applyAlignment="1">
      <alignment horizontal="center"/>
    </xf>
    <xf numFmtId="164" fontId="8" fillId="0" borderId="8" xfId="14" applyNumberFormat="1" applyFont="1" applyFill="1" applyBorder="1" applyAlignment="1">
      <alignment horizontal="right"/>
    </xf>
    <xf numFmtId="164" fontId="8" fillId="0" borderId="51" xfId="14" applyNumberFormat="1" applyFont="1" applyFill="1" applyBorder="1" applyAlignment="1">
      <alignment horizontal="right"/>
    </xf>
    <xf numFmtId="0" fontId="17" fillId="0" borderId="7" xfId="0" applyNumberFormat="1" applyFont="1" applyFill="1" applyBorder="1"/>
    <xf numFmtId="0" fontId="23" fillId="0" borderId="0" xfId="0" applyNumberFormat="1" applyFont="1" applyFill="1" applyBorder="1"/>
    <xf numFmtId="0" fontId="22" fillId="0" borderId="7" xfId="0" applyNumberFormat="1" applyFont="1" applyFill="1" applyBorder="1"/>
    <xf numFmtId="0" fontId="22" fillId="0" borderId="0" xfId="0" applyNumberFormat="1" applyFont="1" applyFill="1" applyBorder="1"/>
    <xf numFmtId="164" fontId="8" fillId="0" borderId="13" xfId="2" applyNumberFormat="1" applyFont="1" applyFill="1" applyBorder="1"/>
    <xf numFmtId="0" fontId="11" fillId="0" borderId="7" xfId="0" applyNumberFormat="1" applyFont="1" applyFill="1" applyBorder="1"/>
    <xf numFmtId="0" fontId="11" fillId="0" borderId="0" xfId="0" applyNumberFormat="1" applyFont="1" applyFill="1" applyBorder="1"/>
    <xf numFmtId="0" fontId="10" fillId="0" borderId="0" xfId="0" applyFont="1" applyFill="1" applyBorder="1" applyAlignment="1">
      <alignment horizontal="left"/>
    </xf>
    <xf numFmtId="164" fontId="8" fillId="0" borderId="0" xfId="14" applyNumberFormat="1" applyFont="1" applyFill="1" applyBorder="1" applyAlignment="1">
      <alignment horizontal="right"/>
    </xf>
    <xf numFmtId="0" fontId="10" fillId="0" borderId="0" xfId="0" quotePrefix="1" applyFont="1" applyFill="1" applyAlignment="1">
      <alignment horizontal="left"/>
    </xf>
    <xf numFmtId="0" fontId="13" fillId="0" borderId="0" xfId="0" applyFont="1" applyFill="1" applyBorder="1" applyAlignment="1">
      <alignment vertical="top"/>
    </xf>
    <xf numFmtId="165" fontId="8" fillId="0" borderId="0" xfId="14" applyNumberFormat="1" applyFont="1" applyFill="1" applyBorder="1" applyAlignment="1">
      <alignment horizontal="right"/>
    </xf>
    <xf numFmtId="43" fontId="8" fillId="0" borderId="0" xfId="14" applyNumberFormat="1" applyFont="1" applyFill="1" applyBorder="1" applyAlignment="1">
      <alignment horizontal="right"/>
    </xf>
    <xf numFmtId="0" fontId="8" fillId="0" borderId="0" xfId="0" applyFont="1" applyFill="1" applyAlignment="1">
      <alignment horizontal="center"/>
    </xf>
    <xf numFmtId="164" fontId="10" fillId="0" borderId="0" xfId="0" applyNumberFormat="1" applyFont="1" applyFill="1" applyAlignment="1">
      <alignment horizontal="right"/>
    </xf>
    <xf numFmtId="164" fontId="9" fillId="0" borderId="0" xfId="0" applyNumberFormat="1" applyFont="1" applyFill="1" applyBorder="1" applyAlignment="1">
      <alignment horizontal="right"/>
    </xf>
    <xf numFmtId="164" fontId="5" fillId="0" borderId="6" xfId="0" applyNumberFormat="1" applyFont="1" applyFill="1" applyBorder="1"/>
    <xf numFmtId="164" fontId="8" fillId="0" borderId="6" xfId="0" applyNumberFormat="1" applyFont="1" applyFill="1" applyBorder="1"/>
    <xf numFmtId="164" fontId="6" fillId="0" borderId="36" xfId="0" applyNumberFormat="1" applyFont="1" applyFill="1" applyBorder="1"/>
    <xf numFmtId="164" fontId="9" fillId="0" borderId="37" xfId="0" applyNumberFormat="1" applyFont="1" applyFill="1" applyBorder="1" applyAlignment="1">
      <alignment horizontal="right"/>
    </xf>
    <xf numFmtId="164" fontId="6" fillId="0" borderId="8" xfId="0" applyNumberFormat="1" applyFont="1" applyFill="1" applyBorder="1"/>
    <xf numFmtId="164" fontId="6" fillId="0" borderId="37" xfId="0" applyNumberFormat="1" applyFont="1" applyFill="1" applyBorder="1"/>
    <xf numFmtId="164" fontId="6" fillId="0" borderId="37" xfId="0" applyNumberFormat="1" applyFont="1" applyFill="1" applyBorder="1" applyAlignment="1">
      <alignment horizontal="center"/>
    </xf>
    <xf numFmtId="164" fontId="6" fillId="0" borderId="7" xfId="0" applyNumberFormat="1" applyFont="1" applyFill="1" applyBorder="1" applyAlignment="1">
      <alignment horizontal="center"/>
    </xf>
    <xf numFmtId="164" fontId="6" fillId="0" borderId="7" xfId="0" applyNumberFormat="1" applyFont="1" applyFill="1" applyBorder="1"/>
    <xf numFmtId="164" fontId="6" fillId="0" borderId="24" xfId="0" applyNumberFormat="1" applyFont="1" applyFill="1" applyBorder="1"/>
    <xf numFmtId="164" fontId="6" fillId="0" borderId="16" xfId="0" applyNumberFormat="1" applyFont="1" applyFill="1" applyBorder="1"/>
    <xf numFmtId="164" fontId="6" fillId="0" borderId="24" xfId="0" applyNumberFormat="1" applyFont="1" applyFill="1" applyBorder="1" applyAlignment="1">
      <alignment horizontal="center"/>
    </xf>
    <xf numFmtId="164" fontId="6" fillId="0" borderId="17" xfId="0" applyNumberFormat="1" applyFont="1" applyFill="1" applyBorder="1" applyAlignment="1">
      <alignment horizontal="left"/>
    </xf>
    <xf numFmtId="164" fontId="9" fillId="0" borderId="18" xfId="0" applyNumberFormat="1" applyFont="1" applyFill="1" applyBorder="1" applyAlignment="1">
      <alignment horizontal="right"/>
    </xf>
    <xf numFmtId="164" fontId="6" fillId="0" borderId="19" xfId="0" applyNumberFormat="1" applyFont="1" applyFill="1" applyBorder="1" applyAlignment="1">
      <alignment horizontal="center"/>
    </xf>
    <xf numFmtId="164" fontId="8" fillId="0" borderId="18" xfId="0" applyNumberFormat="1" applyFont="1" applyFill="1" applyBorder="1"/>
    <xf numFmtId="164" fontId="6" fillId="0" borderId="19" xfId="0" applyNumberFormat="1" applyFont="1" applyFill="1" applyBorder="1" applyAlignment="1">
      <alignment horizontal="right"/>
    </xf>
    <xf numFmtId="164" fontId="6" fillId="0" borderId="18" xfId="0" applyNumberFormat="1" applyFont="1" applyFill="1" applyBorder="1" applyAlignment="1">
      <alignment horizontal="center"/>
    </xf>
    <xf numFmtId="164" fontId="8" fillId="0" borderId="7" xfId="0" applyNumberFormat="1" applyFont="1" applyFill="1" applyBorder="1"/>
    <xf numFmtId="164" fontId="8" fillId="0" borderId="16" xfId="0" applyNumberFormat="1" applyFont="1" applyFill="1" applyBorder="1"/>
    <xf numFmtId="164" fontId="6" fillId="0" borderId="13" xfId="1" applyNumberFormat="1" applyFont="1" applyFill="1" applyBorder="1" applyAlignment="1">
      <alignment horizontal="center"/>
    </xf>
    <xf numFmtId="164" fontId="6" fillId="0" borderId="7" xfId="1" applyNumberFormat="1" applyFont="1" applyFill="1" applyBorder="1" applyAlignment="1">
      <alignment horizontal="center"/>
    </xf>
    <xf numFmtId="164" fontId="8" fillId="0" borderId="24" xfId="0" applyNumberFormat="1" applyFont="1" applyFill="1" applyBorder="1"/>
    <xf numFmtId="164" fontId="8" fillId="0" borderId="16" xfId="1" applyNumberFormat="1" applyFont="1" applyFill="1" applyBorder="1" applyAlignment="1">
      <alignment horizontal="center"/>
    </xf>
    <xf numFmtId="164" fontId="8" fillId="0" borderId="15" xfId="1" applyNumberFormat="1" applyFont="1" applyFill="1" applyBorder="1" applyAlignment="1">
      <alignment horizontal="center"/>
    </xf>
    <xf numFmtId="164" fontId="8" fillId="0" borderId="13" xfId="1" applyNumberFormat="1" applyFont="1" applyFill="1" applyBorder="1" applyAlignment="1">
      <alignment horizontal="center"/>
    </xf>
    <xf numFmtId="164" fontId="8" fillId="0" borderId="24" xfId="1" applyNumberFormat="1" applyFont="1" applyFill="1" applyBorder="1" applyAlignment="1">
      <alignment horizontal="center"/>
    </xf>
    <xf numFmtId="164" fontId="8" fillId="0" borderId="7" xfId="1" applyNumberFormat="1" applyFont="1" applyFill="1" applyBorder="1" applyAlignment="1">
      <alignment horizontal="center"/>
    </xf>
    <xf numFmtId="164" fontId="8" fillId="0" borderId="14" xfId="1" applyNumberFormat="1" applyFont="1" applyFill="1" applyBorder="1" applyAlignment="1">
      <alignment horizontal="center"/>
    </xf>
    <xf numFmtId="164" fontId="8" fillId="0" borderId="14" xfId="1" applyNumberFormat="1" applyFont="1" applyFill="1" applyBorder="1" applyAlignment="1">
      <alignment horizontal="right"/>
    </xf>
    <xf numFmtId="164" fontId="8" fillId="0" borderId="20" xfId="1" applyNumberFormat="1" applyFont="1" applyFill="1" applyBorder="1" applyAlignment="1">
      <alignment horizontal="center"/>
    </xf>
    <xf numFmtId="164" fontId="8" fillId="0" borderId="19" xfId="0" applyNumberFormat="1" applyFont="1" applyFill="1" applyBorder="1"/>
    <xf numFmtId="164" fontId="8" fillId="0" borderId="18" xfId="1" applyNumberFormat="1" applyFont="1" applyFill="1" applyBorder="1" applyAlignment="1">
      <alignment horizontal="center"/>
    </xf>
    <xf numFmtId="164" fontId="8" fillId="0" borderId="21" xfId="1" applyNumberFormat="1" applyFont="1" applyFill="1" applyBorder="1" applyAlignment="1">
      <alignment horizontal="center"/>
    </xf>
    <xf numFmtId="164" fontId="8" fillId="0" borderId="19" xfId="1" applyNumberFormat="1" applyFont="1" applyFill="1" applyBorder="1" applyAlignment="1">
      <alignment horizontal="center"/>
    </xf>
    <xf numFmtId="164" fontId="8" fillId="0" borderId="13" xfId="0" applyNumberFormat="1" applyFont="1" applyFill="1" applyBorder="1" applyAlignment="1">
      <alignment horizontal="center"/>
    </xf>
    <xf numFmtId="164" fontId="8" fillId="0" borderId="16" xfId="0" applyNumberFormat="1" applyFont="1" applyFill="1" applyBorder="1" applyAlignment="1">
      <alignment horizontal="center"/>
    </xf>
    <xf numFmtId="164" fontId="8" fillId="0" borderId="7" xfId="0" applyNumberFormat="1" applyFont="1" applyFill="1" applyBorder="1" applyAlignment="1">
      <alignment horizontal="center"/>
    </xf>
    <xf numFmtId="164" fontId="6" fillId="0" borderId="13" xfId="0" applyNumberFormat="1" applyFont="1" applyFill="1" applyBorder="1"/>
    <xf numFmtId="164" fontId="6" fillId="0" borderId="0" xfId="0" applyNumberFormat="1" applyFont="1" applyFill="1" applyBorder="1" applyAlignment="1">
      <alignment horizontal="center"/>
    </xf>
    <xf numFmtId="164" fontId="6" fillId="0" borderId="13" xfId="0" applyNumberFormat="1" applyFont="1" applyFill="1" applyBorder="1" applyAlignment="1">
      <alignment horizontal="center"/>
    </xf>
    <xf numFmtId="171" fontId="8" fillId="0" borderId="0" xfId="3" applyNumberFormat="1" applyFont="1" applyFill="1" applyBorder="1" applyAlignment="1">
      <alignment horizontal="right"/>
    </xf>
    <xf numFmtId="164" fontId="8" fillId="0" borderId="7" xfId="0" quotePrefix="1" applyNumberFormat="1" applyFont="1" applyFill="1" applyBorder="1"/>
    <xf numFmtId="164" fontId="6" fillId="0" borderId="25" xfId="0" applyNumberFormat="1" applyFont="1" applyFill="1" applyBorder="1"/>
    <xf numFmtId="164" fontId="6" fillId="0" borderId="55" xfId="0" applyNumberFormat="1" applyFont="1" applyFill="1" applyBorder="1"/>
    <xf numFmtId="164" fontId="8" fillId="0" borderId="55" xfId="1" applyNumberFormat="1" applyFont="1" applyFill="1" applyBorder="1" applyAlignment="1">
      <alignment horizontal="center"/>
    </xf>
    <xf numFmtId="164" fontId="8" fillId="0" borderId="55" xfId="1" applyNumberFormat="1" applyFont="1" applyFill="1" applyBorder="1" applyAlignment="1">
      <alignment horizontal="right"/>
    </xf>
    <xf numFmtId="0" fontId="8" fillId="0" borderId="7" xfId="0" applyNumberFormat="1" applyFont="1" applyFill="1" applyBorder="1"/>
    <xf numFmtId="172" fontId="8" fillId="0" borderId="0" xfId="0" applyNumberFormat="1" applyFont="1" applyFill="1"/>
    <xf numFmtId="164" fontId="6" fillId="0" borderId="55" xfId="1" applyNumberFormat="1" applyFont="1" applyFill="1" applyBorder="1" applyAlignment="1">
      <alignment horizontal="center"/>
    </xf>
    <xf numFmtId="164" fontId="6" fillId="0" borderId="55" xfId="1" applyNumberFormat="1" applyFont="1" applyFill="1" applyBorder="1" applyAlignment="1">
      <alignment horizontal="right"/>
    </xf>
    <xf numFmtId="164" fontId="6" fillId="0" borderId="42" xfId="0" applyNumberFormat="1" applyFont="1" applyFill="1" applyBorder="1"/>
    <xf numFmtId="164" fontId="10" fillId="0" borderId="6" xfId="0" applyNumberFormat="1" applyFont="1" applyFill="1" applyBorder="1" applyAlignment="1">
      <alignment horizontal="right"/>
    </xf>
    <xf numFmtId="164" fontId="6" fillId="0" borderId="47" xfId="0" applyNumberFormat="1" applyFont="1" applyFill="1" applyBorder="1"/>
    <xf numFmtId="164" fontId="6" fillId="0" borderId="43" xfId="0" applyNumberFormat="1" applyFont="1" applyFill="1" applyBorder="1"/>
    <xf numFmtId="164" fontId="6" fillId="0" borderId="43" xfId="1" applyNumberFormat="1" applyFont="1" applyFill="1" applyBorder="1" applyAlignment="1">
      <alignment horizontal="center"/>
    </xf>
    <xf numFmtId="164" fontId="6" fillId="0" borderId="47" xfId="1" applyNumberFormat="1" applyFont="1" applyFill="1" applyBorder="1" applyAlignment="1">
      <alignment horizontal="center"/>
    </xf>
    <xf numFmtId="164" fontId="8" fillId="0" borderId="37" xfId="0" applyNumberFormat="1" applyFont="1" applyFill="1" applyBorder="1"/>
    <xf numFmtId="164" fontId="10" fillId="0" borderId="0" xfId="0" quotePrefix="1" applyNumberFormat="1" applyFont="1" applyFill="1"/>
    <xf numFmtId="164" fontId="10" fillId="0" borderId="0" xfId="0" quotePrefix="1" applyNumberFormat="1" applyFont="1" applyFill="1" applyAlignment="1">
      <alignment horizontal="right"/>
    </xf>
    <xf numFmtId="169" fontId="8" fillId="0" borderId="0" xfId="1" applyNumberFormat="1" applyFont="1" applyFill="1"/>
    <xf numFmtId="173" fontId="8" fillId="0" borderId="0" xfId="0" applyNumberFormat="1" applyFont="1" applyFill="1"/>
    <xf numFmtId="174" fontId="8" fillId="0" borderId="0" xfId="0" applyNumberFormat="1" applyFont="1" applyFill="1"/>
    <xf numFmtId="175" fontId="8" fillId="0" borderId="0" xfId="0" applyNumberFormat="1" applyFont="1" applyFill="1"/>
    <xf numFmtId="176" fontId="8" fillId="0" borderId="0" xfId="1" applyNumberFormat="1" applyFont="1" applyFill="1"/>
    <xf numFmtId="43" fontId="8" fillId="0" borderId="0" xfId="1" applyFont="1" applyFill="1"/>
    <xf numFmtId="164" fontId="8" fillId="0" borderId="30" xfId="0" applyNumberFormat="1" applyFont="1" applyFill="1" applyBorder="1"/>
    <xf numFmtId="164" fontId="6" fillId="0" borderId="9" xfId="0" applyNumberFormat="1" applyFont="1" applyFill="1" applyBorder="1"/>
    <xf numFmtId="164" fontId="6" fillId="0" borderId="10" xfId="0" applyNumberFormat="1" applyFont="1" applyFill="1" applyBorder="1"/>
    <xf numFmtId="164" fontId="6" fillId="0" borderId="19" xfId="0" applyNumberFormat="1" applyFont="1" applyFill="1" applyBorder="1" applyAlignment="1">
      <alignment horizontal="left"/>
    </xf>
    <xf numFmtId="164" fontId="6" fillId="0" borderId="18" xfId="0" applyNumberFormat="1" applyFont="1" applyFill="1" applyBorder="1" applyAlignment="1">
      <alignment horizontal="left"/>
    </xf>
    <xf numFmtId="164" fontId="8" fillId="0" borderId="13" xfId="1" applyNumberFormat="1" applyFont="1" applyFill="1" applyBorder="1" applyAlignment="1">
      <alignment horizontal="right"/>
    </xf>
    <xf numFmtId="164" fontId="8" fillId="0" borderId="24" xfId="1" applyNumberFormat="1" applyFont="1" applyFill="1" applyBorder="1" applyAlignment="1">
      <alignment horizontal="right"/>
    </xf>
    <xf numFmtId="164" fontId="8" fillId="0" borderId="16" xfId="1" applyNumberFormat="1" applyFont="1" applyFill="1" applyBorder="1" applyAlignment="1">
      <alignment horizontal="right"/>
    </xf>
    <xf numFmtId="164" fontId="8" fillId="0" borderId="15" xfId="1" applyNumberFormat="1" applyFont="1" applyFill="1" applyBorder="1" applyAlignment="1">
      <alignment horizontal="right"/>
    </xf>
    <xf numFmtId="164" fontId="8" fillId="0" borderId="19" xfId="1" applyNumberFormat="1" applyFont="1" applyFill="1" applyBorder="1" applyAlignment="1">
      <alignment horizontal="right"/>
    </xf>
    <xf numFmtId="164" fontId="6" fillId="0" borderId="13" xfId="1" applyNumberFormat="1" applyFont="1" applyFill="1" applyBorder="1" applyAlignment="1">
      <alignment horizontal="right"/>
    </xf>
    <xf numFmtId="164" fontId="10" fillId="0" borderId="7" xfId="0" applyNumberFormat="1" applyFont="1" applyFill="1" applyBorder="1"/>
    <xf numFmtId="164" fontId="10" fillId="0" borderId="13" xfId="0" applyNumberFormat="1" applyFont="1" applyFill="1" applyBorder="1"/>
    <xf numFmtId="164" fontId="10" fillId="0" borderId="0" xfId="0" applyNumberFormat="1" applyFont="1" applyFill="1" applyBorder="1"/>
    <xf numFmtId="164" fontId="6" fillId="0" borderId="0" xfId="15" applyNumberFormat="1" applyFont="1" applyFill="1" applyBorder="1"/>
    <xf numFmtId="164" fontId="8" fillId="0" borderId="16" xfId="15" applyNumberFormat="1" applyFont="1" applyFill="1" applyBorder="1"/>
    <xf numFmtId="164" fontId="8" fillId="0" borderId="15" xfId="0" applyNumberFormat="1" applyFont="1" applyFill="1" applyBorder="1"/>
    <xf numFmtId="164" fontId="8" fillId="0" borderId="0" xfId="15" applyNumberFormat="1" applyFont="1" applyFill="1" applyBorder="1"/>
    <xf numFmtId="164" fontId="8" fillId="0" borderId="26" xfId="0" applyNumberFormat="1" applyFont="1" applyFill="1" applyBorder="1"/>
    <xf numFmtId="164" fontId="8" fillId="0" borderId="18" xfId="15" applyNumberFormat="1" applyFont="1" applyFill="1" applyBorder="1"/>
    <xf numFmtId="164" fontId="8" fillId="0" borderId="21" xfId="0" applyNumberFormat="1" applyFont="1" applyFill="1" applyBorder="1"/>
    <xf numFmtId="164" fontId="8" fillId="0" borderId="31" xfId="0" applyNumberFormat="1" applyFont="1" applyFill="1" applyBorder="1"/>
    <xf numFmtId="164" fontId="8" fillId="0" borderId="32" xfId="0" applyNumberFormat="1" applyFont="1" applyFill="1" applyBorder="1"/>
    <xf numFmtId="164" fontId="8" fillId="0" borderId="32" xfId="1" applyNumberFormat="1" applyFont="1" applyFill="1" applyBorder="1" applyAlignment="1">
      <alignment horizontal="right"/>
    </xf>
    <xf numFmtId="164" fontId="5" fillId="0" borderId="0" xfId="0" applyNumberFormat="1" applyFont="1" applyFill="1"/>
    <xf numFmtId="164" fontId="8" fillId="0" borderId="36" xfId="0" applyNumberFormat="1" applyFont="1" applyFill="1" applyBorder="1"/>
    <xf numFmtId="164" fontId="8" fillId="0" borderId="24" xfId="0" applyNumberFormat="1" applyFont="1" applyFill="1" applyBorder="1" applyAlignment="1">
      <alignment horizontal="center"/>
    </xf>
    <xf numFmtId="164" fontId="8" fillId="0" borderId="15" xfId="0" applyNumberFormat="1" applyFont="1" applyFill="1" applyBorder="1" applyAlignment="1">
      <alignment horizontal="center"/>
    </xf>
    <xf numFmtId="164" fontId="8" fillId="0" borderId="26" xfId="0" applyNumberFormat="1" applyFont="1" applyFill="1" applyBorder="1" applyAlignment="1">
      <alignment horizontal="center"/>
    </xf>
    <xf numFmtId="164" fontId="8" fillId="0" borderId="19" xfId="0" applyNumberFormat="1" applyFont="1" applyFill="1" applyBorder="1" applyAlignment="1">
      <alignment horizontal="center"/>
    </xf>
    <xf numFmtId="164" fontId="8" fillId="0" borderId="18" xfId="0" applyNumberFormat="1" applyFont="1" applyFill="1" applyBorder="1" applyAlignment="1">
      <alignment horizontal="center"/>
    </xf>
    <xf numFmtId="164" fontId="8" fillId="0" borderId="21" xfId="0" applyNumberFormat="1" applyFont="1" applyFill="1" applyBorder="1" applyAlignment="1">
      <alignment horizontal="center"/>
    </xf>
    <xf numFmtId="164" fontId="8" fillId="0" borderId="0" xfId="15" applyNumberFormat="1" applyFont="1" applyFill="1" applyBorder="1" applyAlignment="1">
      <alignment horizontal="center"/>
    </xf>
    <xf numFmtId="164" fontId="6" fillId="0" borderId="18" xfId="0" applyNumberFormat="1" applyFont="1" applyFill="1" applyBorder="1"/>
    <xf numFmtId="164" fontId="6" fillId="0" borderId="18" xfId="1" applyNumberFormat="1" applyFont="1" applyFill="1" applyBorder="1" applyAlignment="1">
      <alignment horizontal="right"/>
    </xf>
    <xf numFmtId="164" fontId="8" fillId="0" borderId="54" xfId="0" applyNumberFormat="1" applyFont="1" applyFill="1" applyBorder="1"/>
    <xf numFmtId="164" fontId="8" fillId="0" borderId="56" xfId="1" applyNumberFormat="1" applyFont="1" applyFill="1" applyBorder="1" applyAlignment="1">
      <alignment horizontal="right"/>
    </xf>
    <xf numFmtId="164" fontId="8" fillId="0" borderId="54" xfId="1" applyNumberFormat="1" applyFont="1" applyFill="1" applyBorder="1" applyAlignment="1">
      <alignment horizontal="right"/>
    </xf>
    <xf numFmtId="164" fontId="11" fillId="0" borderId="0" xfId="1" applyNumberFormat="1" applyFont="1" applyFill="1" applyBorder="1" applyAlignment="1">
      <alignment horizontal="right"/>
    </xf>
    <xf numFmtId="164" fontId="11" fillId="0" borderId="13" xfId="1" applyNumberFormat="1" applyFont="1" applyFill="1" applyBorder="1" applyAlignment="1">
      <alignment horizontal="right"/>
    </xf>
    <xf numFmtId="164" fontId="8" fillId="0" borderId="59" xfId="0" applyNumberFormat="1" applyFont="1" applyFill="1" applyBorder="1"/>
    <xf numFmtId="164" fontId="11" fillId="0" borderId="6" xfId="1" applyNumberFormat="1" applyFont="1" applyFill="1" applyBorder="1" applyAlignment="1">
      <alignment horizontal="right"/>
    </xf>
    <xf numFmtId="164" fontId="11" fillId="0" borderId="32" xfId="1" applyNumberFormat="1" applyFont="1" applyFill="1" applyBorder="1" applyAlignment="1">
      <alignment horizontal="right"/>
    </xf>
    <xf numFmtId="164" fontId="11" fillId="0" borderId="37" xfId="1" applyNumberFormat="1" applyFont="1" applyFill="1" applyBorder="1" applyAlignment="1">
      <alignment horizontal="right"/>
    </xf>
    <xf numFmtId="164" fontId="8" fillId="0" borderId="37" xfId="1" applyNumberFormat="1" applyFont="1" applyFill="1" applyBorder="1" applyAlignment="1">
      <alignment horizontal="right"/>
    </xf>
    <xf numFmtId="0" fontId="24" fillId="0" borderId="18" xfId="0" applyFont="1" applyFill="1" applyBorder="1"/>
    <xf numFmtId="164" fontId="6" fillId="0" borderId="0" xfId="15" applyNumberFormat="1" applyFont="1" applyFill="1" applyBorder="1" applyAlignment="1">
      <alignment horizontal="center"/>
    </xf>
    <xf numFmtId="164" fontId="8" fillId="0" borderId="16" xfId="15" applyNumberFormat="1" applyFont="1" applyFill="1" applyBorder="1" applyAlignment="1">
      <alignment horizontal="center"/>
    </xf>
    <xf numFmtId="164" fontId="8" fillId="0" borderId="18" xfId="15" applyNumberFormat="1" applyFont="1" applyFill="1" applyBorder="1" applyAlignment="1">
      <alignment horizontal="center"/>
    </xf>
    <xf numFmtId="164" fontId="8" fillId="0" borderId="7" xfId="0" applyNumberFormat="1" applyFont="1" applyFill="1" applyBorder="1" applyAlignment="1">
      <alignment horizontal="left"/>
    </xf>
    <xf numFmtId="164" fontId="8" fillId="0" borderId="13" xfId="0" applyNumberFormat="1" applyFont="1" applyFill="1" applyBorder="1" applyAlignment="1">
      <alignment horizontal="left"/>
    </xf>
    <xf numFmtId="164" fontId="8" fillId="0" borderId="19" xfId="0" applyNumberFormat="1" applyFont="1" applyFill="1" applyBorder="1" applyAlignment="1">
      <alignment horizontal="left"/>
    </xf>
    <xf numFmtId="43" fontId="6" fillId="0" borderId="0" xfId="1" applyFont="1" applyFill="1"/>
    <xf numFmtId="164" fontId="8" fillId="0" borderId="55" xfId="1" applyNumberFormat="1" applyFont="1" applyFill="1" applyBorder="1" applyAlignment="1">
      <alignment horizontal="left"/>
    </xf>
    <xf numFmtId="164" fontId="8" fillId="0" borderId="60" xfId="0" applyNumberFormat="1" applyFont="1" applyFill="1" applyBorder="1"/>
    <xf numFmtId="164" fontId="10" fillId="0" borderId="0" xfId="1" applyNumberFormat="1" applyFont="1" applyFill="1" applyBorder="1" applyAlignment="1">
      <alignment horizontal="left"/>
    </xf>
    <xf numFmtId="164" fontId="6" fillId="0" borderId="0" xfId="0" quotePrefix="1" applyNumberFormat="1" applyFont="1" applyFill="1" applyBorder="1"/>
    <xf numFmtId="164" fontId="8" fillId="0" borderId="36" xfId="0" applyNumberFormat="1" applyFont="1" applyFill="1" applyBorder="1" applyAlignment="1">
      <alignment horizontal="right"/>
    </xf>
    <xf numFmtId="164" fontId="6" fillId="0" borderId="22" xfId="0" applyNumberFormat="1" applyFont="1" applyFill="1" applyBorder="1" applyAlignment="1">
      <alignment horizontal="right"/>
    </xf>
    <xf numFmtId="164" fontId="8" fillId="0" borderId="13" xfId="0" applyNumberFormat="1" applyFont="1" applyFill="1" applyBorder="1" applyAlignment="1">
      <alignment horizontal="left" indent="1"/>
    </xf>
    <xf numFmtId="164" fontId="8" fillId="0" borderId="24" xfId="0" applyNumberFormat="1" applyFont="1" applyFill="1" applyBorder="1" applyAlignment="1">
      <alignment horizontal="left" indent="1"/>
    </xf>
    <xf numFmtId="164" fontId="8" fillId="0" borderId="16" xfId="0" applyNumberFormat="1" applyFont="1" applyFill="1" applyBorder="1" applyAlignment="1">
      <alignment horizontal="left" indent="1"/>
    </xf>
    <xf numFmtId="164" fontId="8" fillId="0" borderId="19" xfId="0" applyNumberFormat="1" applyFont="1" applyFill="1" applyBorder="1" applyAlignment="1">
      <alignment horizontal="left" indent="1"/>
    </xf>
    <xf numFmtId="164" fontId="8" fillId="0" borderId="18" xfId="0" applyNumberFormat="1" applyFont="1" applyFill="1" applyBorder="1" applyAlignment="1">
      <alignment horizontal="left" indent="1"/>
    </xf>
    <xf numFmtId="164" fontId="6" fillId="0" borderId="13" xfId="0" applyNumberFormat="1" applyFont="1" applyFill="1" applyBorder="1" applyAlignment="1">
      <alignment horizontal="left"/>
    </xf>
    <xf numFmtId="164" fontId="8" fillId="0" borderId="54" xfId="0" applyNumberFormat="1" applyFont="1" applyFill="1" applyBorder="1" applyAlignment="1">
      <alignment horizontal="left" indent="1"/>
    </xf>
    <xf numFmtId="166" fontId="8" fillId="0" borderId="55" xfId="1" applyNumberFormat="1" applyFont="1" applyFill="1" applyBorder="1" applyAlignment="1">
      <alignment horizontal="right"/>
    </xf>
    <xf numFmtId="164" fontId="8" fillId="0" borderId="55" xfId="0" applyNumberFormat="1" applyFont="1" applyFill="1" applyBorder="1"/>
    <xf numFmtId="164" fontId="5" fillId="0" borderId="0" xfId="0" applyNumberFormat="1" applyFont="1" applyFill="1" applyBorder="1"/>
    <xf numFmtId="164" fontId="8" fillId="0" borderId="51" xfId="0" applyNumberFormat="1" applyFont="1" applyFill="1" applyBorder="1"/>
    <xf numFmtId="164" fontId="8" fillId="0" borderId="9" xfId="0" applyNumberFormat="1" applyFont="1" applyFill="1" applyBorder="1"/>
    <xf numFmtId="164" fontId="8" fillId="0" borderId="10" xfId="0" applyNumberFormat="1" applyFont="1" applyFill="1" applyBorder="1"/>
    <xf numFmtId="164" fontId="6" fillId="0" borderId="10" xfId="0" applyNumberFormat="1" applyFont="1" applyFill="1" applyBorder="1" applyAlignment="1">
      <alignment horizontal="center"/>
    </xf>
    <xf numFmtId="164" fontId="8" fillId="0" borderId="25" xfId="0" applyNumberFormat="1" applyFont="1" applyFill="1" applyBorder="1" applyAlignment="1">
      <alignment horizontal="center"/>
    </xf>
    <xf numFmtId="164" fontId="6" fillId="0" borderId="25" xfId="0" applyNumberFormat="1" applyFont="1" applyFill="1" applyBorder="1" applyAlignment="1">
      <alignment horizontal="center"/>
    </xf>
    <xf numFmtId="164" fontId="6" fillId="0" borderId="0" xfId="1" applyNumberFormat="1" applyFont="1" applyFill="1" applyBorder="1"/>
    <xf numFmtId="164" fontId="6" fillId="0" borderId="13" xfId="1" applyNumberFormat="1" applyFont="1" applyFill="1" applyBorder="1"/>
    <xf numFmtId="164" fontId="8" fillId="0" borderId="16" xfId="1" applyNumberFormat="1" applyFont="1" applyFill="1" applyBorder="1"/>
    <xf numFmtId="164" fontId="8" fillId="0" borderId="55" xfId="1" applyNumberFormat="1" applyFont="1" applyFill="1" applyBorder="1"/>
    <xf numFmtId="164" fontId="8" fillId="0" borderId="14" xfId="15" applyNumberFormat="1" applyFont="1" applyFill="1" applyBorder="1"/>
    <xf numFmtId="164" fontId="8" fillId="0" borderId="14" xfId="0" applyNumberFormat="1" applyFont="1" applyFill="1" applyBorder="1"/>
    <xf numFmtId="164" fontId="8" fillId="0" borderId="25" xfId="15" applyNumberFormat="1" applyFont="1" applyFill="1" applyBorder="1"/>
    <xf numFmtId="164" fontId="8" fillId="0" borderId="20" xfId="15" applyNumberFormat="1" applyFont="1" applyFill="1" applyBorder="1"/>
    <xf numFmtId="164" fontId="8" fillId="0" borderId="20" xfId="0" applyNumberFormat="1" applyFont="1" applyFill="1" applyBorder="1"/>
    <xf numFmtId="177" fontId="8" fillId="0" borderId="25" xfId="0" applyNumberFormat="1" applyFont="1" applyFill="1" applyBorder="1" applyAlignment="1">
      <alignment horizontal="right"/>
    </xf>
    <xf numFmtId="177" fontId="8" fillId="0" borderId="13" xfId="0" applyNumberFormat="1" applyFont="1" applyFill="1" applyBorder="1" applyAlignment="1">
      <alignment horizontal="right"/>
    </xf>
    <xf numFmtId="177" fontId="8" fillId="0" borderId="25" xfId="0" applyNumberFormat="1" applyFont="1" applyFill="1" applyBorder="1" applyAlignment="1">
      <alignment horizontal="center"/>
    </xf>
    <xf numFmtId="177" fontId="8" fillId="0" borderId="13" xfId="0" applyNumberFormat="1" applyFont="1" applyFill="1" applyBorder="1" applyAlignment="1">
      <alignment horizontal="center"/>
    </xf>
    <xf numFmtId="0" fontId="8" fillId="0" borderId="0" xfId="0" applyNumberFormat="1" applyFont="1" applyFill="1" applyBorder="1"/>
    <xf numFmtId="164" fontId="8" fillId="0" borderId="61" xfId="0" applyNumberFormat="1" applyFont="1" applyFill="1" applyBorder="1"/>
    <xf numFmtId="177" fontId="8" fillId="0" borderId="19" xfId="0" applyNumberFormat="1" applyFont="1" applyFill="1" applyBorder="1" applyAlignment="1">
      <alignment horizontal="center"/>
    </xf>
    <xf numFmtId="177" fontId="8" fillId="0" borderId="0" xfId="0" applyNumberFormat="1" applyFont="1" applyFill="1" applyBorder="1" applyAlignment="1">
      <alignment horizontal="center"/>
    </xf>
    <xf numFmtId="177" fontId="8" fillId="0" borderId="0" xfId="0" applyNumberFormat="1" applyFont="1" applyFill="1" applyBorder="1" applyAlignment="1">
      <alignment horizontal="right"/>
    </xf>
    <xf numFmtId="177" fontId="8" fillId="0" borderId="24" xfId="0" applyNumberFormat="1" applyFont="1" applyFill="1" applyBorder="1" applyAlignment="1">
      <alignment horizontal="center"/>
    </xf>
    <xf numFmtId="164" fontId="6" fillId="0" borderId="23" xfId="0" applyNumberFormat="1" applyFont="1" applyFill="1" applyBorder="1"/>
    <xf numFmtId="164" fontId="6" fillId="0" borderId="15" xfId="0" applyNumberFormat="1" applyFont="1" applyFill="1" applyBorder="1"/>
    <xf numFmtId="164" fontId="6" fillId="0" borderId="16" xfId="0" applyNumberFormat="1" applyFont="1" applyFill="1" applyBorder="1" applyAlignment="1">
      <alignment horizontal="center"/>
    </xf>
    <xf numFmtId="0" fontId="10" fillId="0" borderId="37" xfId="0" applyNumberFormat="1" applyFont="1" applyFill="1" applyBorder="1"/>
    <xf numFmtId="178" fontId="8" fillId="0" borderId="0" xfId="0" applyNumberFormat="1" applyFont="1" applyFill="1"/>
    <xf numFmtId="178" fontId="8" fillId="0" borderId="0" xfId="0" applyNumberFormat="1" applyFont="1" applyFill="1" applyBorder="1"/>
    <xf numFmtId="178" fontId="10" fillId="0" borderId="0" xfId="0" applyNumberFormat="1" applyFont="1" applyFill="1" applyBorder="1"/>
    <xf numFmtId="43" fontId="8" fillId="0" borderId="0" xfId="1" applyFont="1" applyFill="1" applyBorder="1"/>
    <xf numFmtId="0" fontId="10" fillId="0" borderId="0" xfId="0" applyNumberFormat="1" applyFont="1" applyFill="1" applyBorder="1"/>
    <xf numFmtId="175" fontId="8" fillId="0" borderId="0" xfId="0" applyNumberFormat="1" applyFont="1" applyFill="1" applyBorder="1"/>
    <xf numFmtId="179" fontId="8" fillId="0" borderId="0" xfId="0" applyNumberFormat="1" applyFont="1" applyFill="1" applyBorder="1"/>
    <xf numFmtId="164" fontId="8" fillId="0" borderId="25" xfId="14" applyNumberFormat="1" applyFont="1" applyFill="1" applyBorder="1" applyAlignment="1">
      <alignment horizontal="right"/>
    </xf>
    <xf numFmtId="164" fontId="8" fillId="0" borderId="25" xfId="2" applyNumberFormat="1" applyFont="1" applyFill="1" applyBorder="1" applyAlignment="1">
      <alignment horizontal="right"/>
    </xf>
    <xf numFmtId="164" fontId="6" fillId="0" borderId="0" xfId="14" applyNumberFormat="1" applyFont="1" applyFill="1" applyBorder="1" applyAlignment="1">
      <alignment horizontal="right"/>
    </xf>
    <xf numFmtId="43" fontId="4" fillId="0" borderId="0" xfId="14" applyFont="1" applyFill="1"/>
    <xf numFmtId="164" fontId="8" fillId="0" borderId="33" xfId="14" applyNumberFormat="1" applyFont="1" applyFill="1" applyBorder="1" applyAlignment="1">
      <alignment horizontal="right"/>
    </xf>
    <xf numFmtId="164" fontId="8" fillId="0" borderId="58" xfId="14" applyNumberFormat="1" applyFont="1" applyFill="1" applyBorder="1" applyAlignment="1">
      <alignment horizontal="right"/>
    </xf>
    <xf numFmtId="0" fontId="6" fillId="0" borderId="14" xfId="2" applyFont="1" applyFill="1" applyBorder="1" applyAlignment="1">
      <alignment horizontal="right"/>
    </xf>
    <xf numFmtId="0" fontId="6" fillId="0" borderId="20" xfId="2" applyFont="1" applyFill="1" applyBorder="1" applyAlignment="1">
      <alignment horizontal="right"/>
    </xf>
    <xf numFmtId="164" fontId="8" fillId="0" borderId="13" xfId="14" applyNumberFormat="1" applyFont="1" applyFill="1" applyBorder="1" applyAlignment="1">
      <alignment horizontal="right"/>
    </xf>
    <xf numFmtId="164" fontId="4" fillId="0" borderId="0" xfId="14" applyNumberFormat="1" applyFont="1" applyFill="1"/>
    <xf numFmtId="43" fontId="4" fillId="0" borderId="0" xfId="14" applyFont="1"/>
    <xf numFmtId="164" fontId="4" fillId="0" borderId="0" xfId="14" applyNumberFormat="1" applyFont="1"/>
    <xf numFmtId="164" fontId="3" fillId="0" borderId="0" xfId="14" applyNumberFormat="1" applyFont="1" applyFill="1"/>
    <xf numFmtId="0" fontId="4" fillId="0" borderId="0" xfId="0" applyFont="1" applyBorder="1"/>
    <xf numFmtId="0" fontId="5" fillId="0" borderId="6" xfId="0" applyFont="1" applyBorder="1"/>
    <xf numFmtId="0" fontId="4" fillId="0" borderId="6" xfId="0" applyFont="1" applyBorder="1"/>
    <xf numFmtId="0" fontId="4" fillId="0" borderId="0" xfId="0" applyFont="1" applyFill="1" applyBorder="1"/>
    <xf numFmtId="0" fontId="4" fillId="0" borderId="6" xfId="0" applyFont="1" applyFill="1" applyBorder="1"/>
    <xf numFmtId="0" fontId="4" fillId="0" borderId="0" xfId="0" applyFont="1"/>
    <xf numFmtId="0" fontId="6" fillId="0" borderId="36" xfId="0" applyFont="1" applyBorder="1"/>
    <xf numFmtId="0" fontId="6" fillId="0" borderId="37" xfId="0" applyFont="1" applyBorder="1"/>
    <xf numFmtId="0" fontId="6" fillId="0" borderId="37" xfId="0" applyFont="1" applyFill="1" applyBorder="1" applyAlignment="1">
      <alignment horizontal="right"/>
    </xf>
    <xf numFmtId="0" fontId="4" fillId="0" borderId="7" xfId="0" applyFont="1" applyBorder="1"/>
    <xf numFmtId="0" fontId="6" fillId="0" borderId="7" xfId="0" applyFont="1" applyBorder="1"/>
    <xf numFmtId="0" fontId="6" fillId="0" borderId="0" xfId="0" applyFont="1" applyBorder="1"/>
    <xf numFmtId="0" fontId="6" fillId="0" borderId="15" xfId="0" applyFont="1" applyFill="1" applyBorder="1" applyAlignment="1">
      <alignment horizontal="right"/>
    </xf>
    <xf numFmtId="0" fontId="6" fillId="0" borderId="17" xfId="0" applyFont="1" applyBorder="1"/>
    <xf numFmtId="0" fontId="6" fillId="0" borderId="18" xfId="0" applyFont="1" applyBorder="1" applyAlignment="1">
      <alignment horizontal="center"/>
    </xf>
    <xf numFmtId="0" fontId="6" fillId="0" borderId="0" xfId="0" applyFont="1" applyBorder="1" applyAlignment="1">
      <alignment horizontal="center"/>
    </xf>
    <xf numFmtId="0" fontId="17" fillId="0" borderId="7" xfId="0" applyNumberFormat="1" applyFont="1" applyBorder="1"/>
    <xf numFmtId="43" fontId="3" fillId="0" borderId="7" xfId="0" applyNumberFormat="1" applyFont="1" applyBorder="1"/>
    <xf numFmtId="164" fontId="4" fillId="0" borderId="0" xfId="0" applyNumberFormat="1" applyFont="1"/>
    <xf numFmtId="0" fontId="8" fillId="0" borderId="0" xfId="0" quotePrefix="1" applyFont="1" applyFill="1" applyBorder="1" applyAlignment="1">
      <alignment horizontal="right"/>
    </xf>
    <xf numFmtId="43" fontId="4" fillId="0" borderId="7" xfId="0" applyNumberFormat="1" applyFont="1" applyBorder="1"/>
    <xf numFmtId="0" fontId="8" fillId="0" borderId="0" xfId="0" applyFont="1" applyBorder="1"/>
    <xf numFmtId="0" fontId="8" fillId="0" borderId="0" xfId="0" applyNumberFormat="1" applyFont="1" applyFill="1" applyBorder="1" applyAlignment="1">
      <alignment horizontal="right"/>
    </xf>
    <xf numFmtId="43" fontId="4" fillId="0" borderId="0" xfId="0" applyNumberFormat="1" applyFont="1"/>
    <xf numFmtId="43" fontId="4" fillId="0" borderId="7" xfId="0" applyNumberFormat="1" applyFont="1" applyFill="1" applyBorder="1"/>
    <xf numFmtId="0" fontId="4" fillId="0" borderId="0" xfId="0" applyFont="1" applyFill="1"/>
    <xf numFmtId="0" fontId="10" fillId="0" borderId="0" xfId="0" applyNumberFormat="1" applyFont="1" applyFill="1" applyBorder="1" applyAlignment="1">
      <alignment horizontal="right"/>
    </xf>
    <xf numFmtId="0" fontId="23" fillId="0" borderId="7" xfId="0" applyNumberFormat="1" applyFont="1" applyBorder="1"/>
    <xf numFmtId="0" fontId="23" fillId="0" borderId="31" xfId="0" applyNumberFormat="1" applyFont="1" applyBorder="1"/>
    <xf numFmtId="0" fontId="8" fillId="0" borderId="6" xfId="0" quotePrefix="1" applyFont="1" applyFill="1" applyBorder="1"/>
    <xf numFmtId="0" fontId="8" fillId="0" borderId="6" xfId="0" quotePrefix="1" applyFont="1" applyFill="1" applyBorder="1" applyAlignment="1">
      <alignment horizontal="right"/>
    </xf>
    <xf numFmtId="164" fontId="8" fillId="0" borderId="33" xfId="0" applyNumberFormat="1" applyFont="1" applyFill="1" applyBorder="1" applyAlignment="1">
      <alignment horizontal="right"/>
    </xf>
    <xf numFmtId="0" fontId="11" fillId="0" borderId="31" xfId="0" applyNumberFormat="1" applyFont="1" applyBorder="1"/>
    <xf numFmtId="0" fontId="8" fillId="0" borderId="6" xfId="0" quotePrefix="1" applyFont="1" applyBorder="1"/>
    <xf numFmtId="0" fontId="8" fillId="0" borderId="6" xfId="0" applyNumberFormat="1" applyFont="1" applyFill="1" applyBorder="1" applyAlignment="1">
      <alignment horizontal="right"/>
    </xf>
    <xf numFmtId="177" fontId="8" fillId="0" borderId="33" xfId="0" applyNumberFormat="1" applyFont="1" applyFill="1" applyBorder="1" applyAlignment="1">
      <alignment horizontal="right"/>
    </xf>
    <xf numFmtId="0" fontId="10" fillId="0" borderId="0" xfId="0" applyNumberFormat="1" applyFont="1"/>
    <xf numFmtId="0" fontId="10" fillId="0" borderId="0" xfId="0" applyFont="1"/>
    <xf numFmtId="43" fontId="3" fillId="0" borderId="0" xfId="0" applyNumberFormat="1" applyFont="1" applyBorder="1"/>
    <xf numFmtId="0" fontId="3" fillId="0" borderId="0" xfId="0" applyFont="1" applyBorder="1"/>
    <xf numFmtId="0" fontId="3" fillId="0" borderId="0" xfId="0" applyFont="1"/>
    <xf numFmtId="164" fontId="4" fillId="0" borderId="0" xfId="0" applyNumberFormat="1" applyFont="1" applyFill="1"/>
    <xf numFmtId="164" fontId="3" fillId="0" borderId="0" xfId="0" applyNumberFormat="1" applyFont="1"/>
    <xf numFmtId="0" fontId="25" fillId="0" borderId="0" xfId="0" applyFont="1" applyBorder="1"/>
    <xf numFmtId="0" fontId="26" fillId="0" borderId="0" xfId="0" applyFont="1"/>
    <xf numFmtId="0" fontId="27" fillId="0" borderId="0" xfId="0" applyFont="1" applyFill="1"/>
    <xf numFmtId="3" fontId="6" fillId="0" borderId="39" xfId="0" applyNumberFormat="1" applyFont="1" applyFill="1" applyBorder="1" applyAlignment="1">
      <alignment horizontal="right"/>
    </xf>
    <xf numFmtId="0" fontId="6" fillId="0" borderId="41" xfId="0" applyFont="1" applyFill="1" applyBorder="1" applyAlignment="1">
      <alignment horizontal="right"/>
    </xf>
    <xf numFmtId="0" fontId="6" fillId="0" borderId="40" xfId="0" applyFont="1" applyFill="1" applyBorder="1" applyAlignment="1">
      <alignment horizontal="right"/>
    </xf>
    <xf numFmtId="2" fontId="6" fillId="0" borderId="0" xfId="0" applyNumberFormat="1" applyFont="1" applyFill="1" applyBorder="1" applyAlignment="1"/>
    <xf numFmtId="165" fontId="6" fillId="0" borderId="0" xfId="0" applyNumberFormat="1" applyFont="1" applyFill="1" applyBorder="1" applyAlignment="1"/>
    <xf numFmtId="41" fontId="6" fillId="0" borderId="7" xfId="0" applyNumberFormat="1" applyFont="1" applyFill="1" applyBorder="1" applyAlignment="1">
      <alignment horizontal="right"/>
    </xf>
    <xf numFmtId="166" fontId="20" fillId="2" borderId="0" xfId="13" applyNumberFormat="1" applyFont="1" applyFill="1" applyBorder="1"/>
    <xf numFmtId="43" fontId="8" fillId="0" borderId="0" xfId="0" applyNumberFormat="1" applyFont="1" applyFill="1" applyBorder="1" applyAlignment="1"/>
    <xf numFmtId="169" fontId="8" fillId="0" borderId="0" xfId="14" applyNumberFormat="1" applyFont="1" applyFill="1" applyBorder="1" applyAlignment="1">
      <alignment horizontal="right"/>
    </xf>
    <xf numFmtId="170" fontId="8" fillId="0" borderId="0" xfId="14" applyNumberFormat="1" applyFont="1" applyFill="1" applyBorder="1" applyAlignment="1">
      <alignment horizontal="righ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7" fontId="6" fillId="0" borderId="9" xfId="0" quotePrefix="1" applyNumberFormat="1" applyFont="1" applyFill="1" applyBorder="1" applyAlignment="1">
      <alignment horizontal="center"/>
    </xf>
    <xf numFmtId="17" fontId="6" fillId="0" borderId="10" xfId="0" quotePrefix="1" applyNumberFormat="1" applyFont="1" applyFill="1" applyBorder="1" applyAlignment="1">
      <alignment horizontal="center"/>
    </xf>
    <xf numFmtId="17" fontId="6" fillId="0" borderId="11" xfId="0" quotePrefix="1" applyNumberFormat="1" applyFont="1" applyFill="1" applyBorder="1" applyAlignment="1">
      <alignment horizontal="center"/>
    </xf>
    <xf numFmtId="0" fontId="6" fillId="0" borderId="0" xfId="0" applyFont="1" applyFill="1" applyAlignment="1">
      <alignment horizontal="center"/>
    </xf>
    <xf numFmtId="164" fontId="10" fillId="0" borderId="0" xfId="0" applyNumberFormat="1" applyFont="1" applyFill="1" applyAlignment="1">
      <alignment horizontal="left"/>
    </xf>
    <xf numFmtId="164" fontId="6" fillId="0" borderId="49" xfId="0" applyNumberFormat="1" applyFont="1" applyFill="1" applyBorder="1" applyAlignment="1">
      <alignment horizontal="left" vertical="top"/>
    </xf>
    <xf numFmtId="164" fontId="6" fillId="0" borderId="50" xfId="0" applyNumberFormat="1" applyFont="1" applyFill="1" applyBorder="1" applyAlignment="1">
      <alignment horizontal="left" vertical="top"/>
    </xf>
    <xf numFmtId="164" fontId="8" fillId="0" borderId="7" xfId="0" applyNumberFormat="1" applyFont="1" applyFill="1" applyBorder="1" applyAlignment="1">
      <alignment horizontal="left" indent="1"/>
    </xf>
    <xf numFmtId="164" fontId="8" fillId="0" borderId="0" xfId="0" applyNumberFormat="1" applyFont="1" applyFill="1" applyBorder="1" applyAlignment="1">
      <alignment horizontal="left" indent="1"/>
    </xf>
    <xf numFmtId="164" fontId="8" fillId="0" borderId="26" xfId="0" applyNumberFormat="1" applyFont="1" applyFill="1" applyBorder="1" applyAlignment="1">
      <alignment horizontal="left" indent="1"/>
    </xf>
    <xf numFmtId="164" fontId="8" fillId="0" borderId="7" xfId="0" applyNumberFormat="1" applyFont="1" applyFill="1" applyBorder="1" applyAlignment="1">
      <alignment horizontal="left"/>
    </xf>
    <xf numFmtId="164" fontId="8" fillId="0" borderId="0" xfId="0" applyNumberFormat="1" applyFont="1" applyFill="1" applyBorder="1" applyAlignment="1">
      <alignment horizontal="left"/>
    </xf>
    <xf numFmtId="164" fontId="8" fillId="0" borderId="26" xfId="0" applyNumberFormat="1" applyFont="1" applyFill="1" applyBorder="1" applyAlignment="1">
      <alignment horizontal="left"/>
    </xf>
    <xf numFmtId="164" fontId="8" fillId="0" borderId="17" xfId="0" applyNumberFormat="1" applyFont="1" applyFill="1" applyBorder="1" applyAlignment="1">
      <alignment horizontal="left"/>
    </xf>
    <xf numFmtId="164" fontId="8" fillId="0" borderId="18" xfId="0" applyNumberFormat="1" applyFont="1" applyFill="1" applyBorder="1" applyAlignment="1">
      <alignment horizontal="left"/>
    </xf>
    <xf numFmtId="164" fontId="8" fillId="0" borderId="21" xfId="0" applyNumberFormat="1" applyFont="1" applyFill="1" applyBorder="1" applyAlignment="1">
      <alignment horizontal="left"/>
    </xf>
    <xf numFmtId="164" fontId="10" fillId="0" borderId="37" xfId="0" applyNumberFormat="1" applyFont="1" applyFill="1" applyBorder="1" applyAlignment="1">
      <alignment horizontal="left"/>
    </xf>
    <xf numFmtId="164" fontId="11" fillId="0" borderId="0" xfId="0" applyNumberFormat="1" applyFont="1" applyFill="1" applyBorder="1" applyAlignment="1">
      <alignment horizontal="left"/>
    </xf>
    <xf numFmtId="164" fontId="11" fillId="0" borderId="26" xfId="0" applyNumberFormat="1" applyFont="1" applyFill="1" applyBorder="1" applyAlignment="1">
      <alignment horizontal="left"/>
    </xf>
    <xf numFmtId="164" fontId="6" fillId="0" borderId="0" xfId="0" applyNumberFormat="1" applyFont="1" applyFill="1" applyBorder="1" applyAlignment="1">
      <alignment horizontal="left"/>
    </xf>
    <xf numFmtId="164" fontId="6" fillId="0" borderId="9" xfId="0" quotePrefix="1" applyNumberFormat="1" applyFont="1" applyFill="1" applyBorder="1" applyAlignment="1">
      <alignment horizontal="center"/>
    </xf>
    <xf numFmtId="164" fontId="6" fillId="0" borderId="10" xfId="0" quotePrefix="1" applyNumberFormat="1" applyFont="1" applyFill="1" applyBorder="1" applyAlignment="1">
      <alignment horizontal="center"/>
    </xf>
    <xf numFmtId="164" fontId="8" fillId="0" borderId="0" xfId="0" applyNumberFormat="1" applyFont="1" applyFill="1" applyBorder="1" applyAlignment="1"/>
    <xf numFmtId="0" fontId="0" fillId="0" borderId="0" xfId="0" applyFill="1" applyAlignment="1"/>
    <xf numFmtId="0" fontId="0" fillId="0" borderId="26" xfId="0" applyFill="1" applyBorder="1" applyAlignment="1"/>
    <xf numFmtId="0" fontId="6" fillId="0" borderId="54" xfId="0" applyFont="1"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57" xfId="0" applyFill="1" applyBorder="1" applyAlignment="1">
      <alignment horizontal="center"/>
    </xf>
    <xf numFmtId="37" fontId="8" fillId="0" borderId="0" xfId="0" applyNumberFormat="1" applyFont="1" applyFill="1" applyBorder="1" applyAlignment="1">
      <alignment horizontal="left"/>
    </xf>
    <xf numFmtId="0" fontId="6" fillId="0" borderId="9" xfId="0" quotePrefix="1" applyFont="1" applyFill="1" applyBorder="1" applyAlignment="1">
      <alignment horizontal="center"/>
    </xf>
    <xf numFmtId="0" fontId="0" fillId="0" borderId="10" xfId="0" applyFill="1" applyBorder="1" applyAlignment="1"/>
    <xf numFmtId="0" fontId="0" fillId="0" borderId="12" xfId="0" applyFill="1" applyBorder="1" applyAlignment="1"/>
    <xf numFmtId="0" fontId="6" fillId="0" borderId="55" xfId="0" applyFont="1" applyFill="1" applyBorder="1" applyAlignment="1">
      <alignment horizontal="center"/>
    </xf>
    <xf numFmtId="164" fontId="6" fillId="0" borderId="10" xfId="0" applyNumberFormat="1" applyFont="1" applyFill="1" applyBorder="1" applyAlignment="1">
      <alignment horizontal="center"/>
    </xf>
    <xf numFmtId="0" fontId="6" fillId="0" borderId="10" xfId="0" quotePrefix="1" applyFont="1" applyFill="1" applyBorder="1" applyAlignment="1">
      <alignment horizontal="center"/>
    </xf>
    <xf numFmtId="0" fontId="6" fillId="0" borderId="18" xfId="0" quotePrefix="1" applyFont="1" applyFill="1" applyBorder="1" applyAlignment="1">
      <alignment horizontal="center"/>
    </xf>
    <xf numFmtId="0" fontId="6" fillId="0" borderId="18" xfId="0" applyFont="1" applyFill="1" applyBorder="1" applyAlignment="1">
      <alignment horizontal="center"/>
    </xf>
    <xf numFmtId="164" fontId="6" fillId="0" borderId="18" xfId="0" applyNumberFormat="1" applyFont="1" applyFill="1" applyBorder="1" applyAlignment="1">
      <alignment horizontal="center"/>
    </xf>
    <xf numFmtId="164" fontId="6" fillId="0" borderId="37" xfId="0" quotePrefix="1" applyNumberFormat="1" applyFont="1" applyFill="1" applyBorder="1" applyAlignment="1">
      <alignment horizontal="center"/>
    </xf>
    <xf numFmtId="164" fontId="6" fillId="0" borderId="37" xfId="0" applyNumberFormat="1" applyFont="1" applyFill="1" applyBorder="1" applyAlignment="1">
      <alignment horizontal="center"/>
    </xf>
    <xf numFmtId="164" fontId="10" fillId="0" borderId="37" xfId="0" quotePrefix="1" applyNumberFormat="1" applyFont="1" applyFill="1" applyBorder="1" applyAlignment="1">
      <alignment horizontal="left"/>
    </xf>
    <xf numFmtId="0" fontId="6" fillId="0" borderId="10" xfId="0" applyFont="1" applyFill="1" applyBorder="1" applyAlignment="1">
      <alignment horizontal="center"/>
    </xf>
    <xf numFmtId="0" fontId="6" fillId="0" borderId="11" xfId="0" applyFont="1" applyFill="1" applyBorder="1" applyAlignment="1">
      <alignment horizontal="center"/>
    </xf>
    <xf numFmtId="164" fontId="6" fillId="0" borderId="30" xfId="0" applyNumberFormat="1" applyFont="1" applyFill="1" applyBorder="1" applyAlignment="1">
      <alignment horizontal="center"/>
    </xf>
    <xf numFmtId="164" fontId="8" fillId="0" borderId="30" xfId="0" applyNumberFormat="1" applyFont="1" applyFill="1" applyBorder="1" applyAlignment="1">
      <alignment horizontal="center"/>
    </xf>
    <xf numFmtId="164" fontId="8" fillId="0" borderId="0" xfId="1" applyNumberFormat="1" applyFont="1" applyFill="1" applyBorder="1" applyAlignment="1">
      <alignment horizontal="left" indent="1"/>
    </xf>
  </cellXfs>
  <cellStyles count="26">
    <cellStyle name="Comma" xfId="1" builtinId="3"/>
    <cellStyle name="Comma 13" xfId="14"/>
    <cellStyle name="Comma 16" xfId="13"/>
    <cellStyle name="Comma 2" xfId="16"/>
    <cellStyle name="Comma 2 2" xfId="3"/>
    <cellStyle name="Comma 3" xfId="17"/>
    <cellStyle name="Comma 3 2" xfId="18"/>
    <cellStyle name="Comma 35" xfId="8"/>
    <cellStyle name="Comma 37 4" xfId="7"/>
    <cellStyle name="Comma 4" xfId="19"/>
    <cellStyle name="Comma 4 2" xfId="20"/>
    <cellStyle name="Comma 5" xfId="21"/>
    <cellStyle name="Comma 5 2" xfId="22"/>
    <cellStyle name="Comma 6" xfId="23"/>
    <cellStyle name="Comma 7" xfId="24"/>
    <cellStyle name="Comma 7 2" xfId="25"/>
    <cellStyle name="Normal" xfId="0" builtinId="0"/>
    <cellStyle name="Normal 2" xfId="2"/>
    <cellStyle name="Normal 2 2" xfId="6"/>
    <cellStyle name="Normal 4" xfId="15"/>
    <cellStyle name="Normal 49" xfId="4"/>
    <cellStyle name="Normal 50" xfId="5"/>
    <cellStyle name="Normal 51" xfId="9"/>
    <cellStyle name="Normal 52" xfId="10"/>
    <cellStyle name="Normal 53" xfId="11"/>
    <cellStyle name="Normal 5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1\Table%201%20Jul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1\Table%201%20August%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1\Table%201%20September%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2\Table%202%20C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2\Table%202%20C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2\Table%202%20C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2\Table%202%20C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2\Table%202%20C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3\statement%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3\statement%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3\statement%2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3\statement%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3\statement%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3\statement%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BR_Accountant-General\3.%20CD_National%20Accounts\D.%20Directorates\D5.%20D_NRF%20and%20ASB\xiii.%20Exchequer%20Management\2018-2019\Financial%20Statements\FINAL\FINAL%20AFS%202018-1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5\Additional%20Inform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5\Additional%20Inform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5\Additional%20Informa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5\Additional%20Inform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5\Additional%20Inform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5\Additional%20Inform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17-2018/Financial%20Statements/FINAL/FINAL%20AFS%202017-18%2004%20October%202018%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1.%20APR\Table%205\Additional%20Inform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2.%20MAY\Table%205\Additional%20Informa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5/Additional%20Informa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5/Additional%20Inform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1.%20APR\Table%204\Recon%20statement%2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2.%20MAY\Table%204\Recon%20statemen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3.%20JUNE\Table%204\Recon%20statement.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4.%20JULY\Table%204\Recon%20statement.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5.%20AUGUST\Table%204\Recon%20statemen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Inter%20Branch%20Information\Section%2032%20Report\2020-2021\06.%20SEPTEMBER\Table%204\Recon%20statement.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BR_Accountant-General\3.%20CD_National%20Accounts\D.%20Directorates\D5.%20D_NRF%20and%20ASB\xiii.%20Exchequer%20Management\2020-2021\Exchequer%20Statements\Exchequer%20issues%202020-202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3309/AppData/Local/Microsoft/Windows/INetCache/Content.Outlook/6Y7I356U/Exchequer%20issues%202020-202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2.%20MAR\Table%203\statement%20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7.OCT\Table%203\statement%2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8.%20NOV\Table%203\statement%2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09.%20DEC\Table%203\statement%2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0.%20JAN\Table%203\statement%2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Inter%20Branch%20Information\Section%2032%20Report\2019-2020\11.%20FEB\Table%203\statement%2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Inter%20Branch%20Information\Section%2032%20Report\2018-2019\APRIL%202018\Table%203\statement%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r%20Branch%20Information\Section%2032%20Report\2018-2019\MAY%202018\Table%203\statement%2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Inter%20Branch%20Information\Section%2032%20Report\2017-2018\March%202018\Table%203\stateme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H114">
            <v>1099513646.5522585</v>
          </cell>
          <cell r="L114">
            <v>62846312.960169993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I114">
            <v>63095740.380769998</v>
          </cell>
          <cell r="U114">
            <v>63095740.380769998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J114">
            <v>68106446.022430018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K114">
            <v>108554101.37664002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M114">
            <v>101855148.66649999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N114">
            <v>105679255.27216996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I48">
            <v>987653947</v>
          </cell>
          <cell r="AC48">
            <v>118355901</v>
          </cell>
        </row>
        <row r="51">
          <cell r="I51">
            <v>7798</v>
          </cell>
          <cell r="AC51">
            <v>475</v>
          </cell>
        </row>
        <row r="52">
          <cell r="I52">
            <v>507157</v>
          </cell>
          <cell r="AC52">
            <v>42263</v>
          </cell>
        </row>
        <row r="53">
          <cell r="I53">
            <v>236444437</v>
          </cell>
          <cell r="AC53">
            <v>33793248</v>
          </cell>
        </row>
        <row r="56">
          <cell r="I56">
            <v>538471528</v>
          </cell>
          <cell r="AC56">
            <v>44872627</v>
          </cell>
        </row>
        <row r="57">
          <cell r="I57">
            <v>14026878</v>
          </cell>
          <cell r="AC57">
            <v>0</v>
          </cell>
        </row>
        <row r="58">
          <cell r="I58">
            <v>111331</v>
          </cell>
          <cell r="AC58">
            <v>0</v>
          </cell>
        </row>
        <row r="59">
          <cell r="I59">
            <v>120001</v>
          </cell>
          <cell r="AC59">
            <v>0</v>
          </cell>
        </row>
        <row r="60">
          <cell r="I60">
            <v>11290516</v>
          </cell>
          <cell r="AC60">
            <v>54518</v>
          </cell>
        </row>
        <row r="61">
          <cell r="I61">
            <v>2550227</v>
          </cell>
          <cell r="AC61">
            <v>175874</v>
          </cell>
        </row>
        <row r="62">
          <cell r="I62">
            <v>1190937</v>
          </cell>
          <cell r="AC62">
            <v>81055</v>
          </cell>
        </row>
        <row r="63">
          <cell r="I63">
            <v>10997</v>
          </cell>
          <cell r="AC63">
            <v>0</v>
          </cell>
        </row>
        <row r="65">
          <cell r="I65">
            <v>7021000</v>
          </cell>
        </row>
        <row r="66">
          <cell r="I66">
            <v>23000000</v>
          </cell>
        </row>
        <row r="67">
          <cell r="A67" t="str">
            <v xml:space="preserve">Provisional allocation for COVID-19 fiscal relief package </v>
          </cell>
          <cell r="I67">
            <v>19575326</v>
          </cell>
        </row>
        <row r="68">
          <cell r="I68">
            <v>-37807000</v>
          </cell>
        </row>
        <row r="70">
          <cell r="I70">
            <v>5000000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row r="65">
          <cell r="A65" t="str">
            <v>Provisional allocation for contingencies not assigned to votes</v>
          </cell>
        </row>
        <row r="66">
          <cell r="A66" t="str">
            <v xml:space="preserve">Provisional allocation for Eskom restructuring </v>
          </cell>
        </row>
        <row r="67">
          <cell r="A67" t="str">
            <v>Compensation of employees adjustment</v>
          </cell>
        </row>
        <row r="69">
          <cell r="A69" t="str">
            <v>Contingency reserve</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H13">
            <v>146000000</v>
          </cell>
          <cell r="AB13">
            <v>26289577</v>
          </cell>
        </row>
        <row r="23">
          <cell r="H23">
            <v>410035000</v>
          </cell>
          <cell r="AB23">
            <v>60600922</v>
          </cell>
        </row>
        <row r="25">
          <cell r="H25">
            <v>496423000</v>
          </cell>
          <cell r="AB25">
            <v>69933031</v>
          </cell>
        </row>
        <row r="26">
          <cell r="H26">
            <v>-33923000</v>
          </cell>
          <cell r="AB26">
            <v>-8992564</v>
          </cell>
        </row>
        <row r="27">
          <cell r="H27">
            <v>-52465000</v>
          </cell>
          <cell r="AB27">
            <v>-339545</v>
          </cell>
        </row>
        <row r="31">
          <cell r="AB31">
            <v>0</v>
          </cell>
        </row>
        <row r="32">
          <cell r="AB32">
            <v>0</v>
          </cell>
        </row>
        <row r="33">
          <cell r="AB33">
            <v>0</v>
          </cell>
        </row>
        <row r="36">
          <cell r="AB36">
            <v>0</v>
          </cell>
        </row>
        <row r="37">
          <cell r="AB37">
            <v>0</v>
          </cell>
        </row>
        <row r="44">
          <cell r="H44">
            <v>110568000</v>
          </cell>
          <cell r="AB44">
            <v>86911584</v>
          </cell>
        </row>
        <row r="46">
          <cell r="H46">
            <v>125230000</v>
          </cell>
          <cell r="AB46">
            <v>86911584</v>
          </cell>
        </row>
        <row r="47">
          <cell r="H47">
            <v>0</v>
          </cell>
          <cell r="AB47">
            <v>0</v>
          </cell>
        </row>
        <row r="49">
          <cell r="H49">
            <v>-7961000</v>
          </cell>
          <cell r="AB49">
            <v>0</v>
          </cell>
        </row>
        <row r="50">
          <cell r="H50">
            <v>-6701000</v>
          </cell>
          <cell r="AB50">
            <v>0</v>
          </cell>
        </row>
        <row r="67">
          <cell r="H67">
            <v>43058433</v>
          </cell>
          <cell r="AB67">
            <v>-39272434.960170001</v>
          </cell>
        </row>
        <row r="70">
          <cell r="H70">
            <v>0</v>
          </cell>
          <cell r="AB70">
            <v>-24856159</v>
          </cell>
        </row>
        <row r="71">
          <cell r="H71">
            <v>0</v>
          </cell>
          <cell r="AB71">
            <v>0</v>
          </cell>
        </row>
        <row r="72">
          <cell r="AB72">
            <v>126224</v>
          </cell>
        </row>
        <row r="73">
          <cell r="AB73">
            <v>-22185</v>
          </cell>
        </row>
      </sheetData>
      <sheetData sheetId="1"/>
      <sheetData sheetId="2"/>
      <sheetData sheetId="3"/>
      <sheetData sheetId="4">
        <row r="9">
          <cell r="H9" t="str">
            <v xml:space="preserve">Revised  </v>
          </cell>
        </row>
        <row r="14">
          <cell r="H14">
            <v>191125443</v>
          </cell>
        </row>
        <row r="15">
          <cell r="H15">
            <v>44536225</v>
          </cell>
        </row>
        <row r="18">
          <cell r="H18">
            <v>110906000</v>
          </cell>
          <cell r="AB18">
            <v>216993276</v>
          </cell>
        </row>
        <row r="19">
          <cell r="H19">
            <v>85780000</v>
          </cell>
          <cell r="AB19">
            <v>110425495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9">
          <cell r="H9" t="str">
            <v>Budget</v>
          </cell>
        </row>
        <row r="13">
          <cell r="M13">
            <v>37582688</v>
          </cell>
        </row>
        <row r="23">
          <cell r="M23">
            <v>32850713</v>
          </cell>
        </row>
        <row r="25">
          <cell r="M25">
            <v>38350619</v>
          </cell>
        </row>
        <row r="26">
          <cell r="M26">
            <v>-4299769</v>
          </cell>
        </row>
        <row r="28">
          <cell r="M28">
            <v>-1200137</v>
          </cell>
        </row>
        <row r="32">
          <cell r="H32">
            <v>0</v>
          </cell>
          <cell r="M32">
            <v>0</v>
          </cell>
        </row>
        <row r="33">
          <cell r="H33">
            <v>0</v>
          </cell>
          <cell r="M33">
            <v>0</v>
          </cell>
        </row>
        <row r="34">
          <cell r="H34">
            <v>0</v>
          </cell>
          <cell r="M34">
            <v>0</v>
          </cell>
        </row>
        <row r="37">
          <cell r="H37">
            <v>0</v>
          </cell>
          <cell r="M37">
            <v>487336</v>
          </cell>
        </row>
        <row r="38">
          <cell r="H38">
            <v>0</v>
          </cell>
          <cell r="M38">
            <v>-487336</v>
          </cell>
        </row>
        <row r="45">
          <cell r="M45">
            <v>-777665</v>
          </cell>
        </row>
        <row r="47">
          <cell r="M47">
            <v>0</v>
          </cell>
        </row>
        <row r="48">
          <cell r="M48">
            <v>0</v>
          </cell>
        </row>
        <row r="50">
          <cell r="M50">
            <v>-391647</v>
          </cell>
        </row>
        <row r="51">
          <cell r="M51">
            <v>-386018</v>
          </cell>
        </row>
        <row r="68">
          <cell r="M68">
            <v>-18499278.953769997</v>
          </cell>
        </row>
        <row r="71">
          <cell r="M71">
            <v>34143659</v>
          </cell>
        </row>
        <row r="72">
          <cell r="M72">
            <v>0</v>
          </cell>
        </row>
        <row r="73">
          <cell r="M73">
            <v>0</v>
          </cell>
        </row>
        <row r="74">
          <cell r="M74">
            <v>0</v>
          </cell>
        </row>
      </sheetData>
      <sheetData sheetId="1"/>
      <sheetData sheetId="2"/>
      <sheetData sheetId="3"/>
      <sheetData sheetId="4">
        <row r="14">
          <cell r="BZ14">
            <v>174717635</v>
          </cell>
        </row>
        <row r="18">
          <cell r="M18">
            <v>188398825</v>
          </cell>
        </row>
        <row r="19">
          <cell r="M19">
            <v>65747013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16125619</v>
          </cell>
        </row>
        <row r="23">
          <cell r="R23">
            <v>40638036.743999995</v>
          </cell>
        </row>
        <row r="25">
          <cell r="R25">
            <v>45031287.743999995</v>
          </cell>
        </row>
        <row r="26">
          <cell r="R26">
            <v>-4058204</v>
          </cell>
        </row>
        <row r="27">
          <cell r="R27">
            <v>-335047</v>
          </cell>
        </row>
        <row r="32">
          <cell r="R32">
            <v>0</v>
          </cell>
        </row>
        <row r="33">
          <cell r="R33">
            <v>0</v>
          </cell>
        </row>
        <row r="36">
          <cell r="R36">
            <v>29682</v>
          </cell>
        </row>
        <row r="37">
          <cell r="R37">
            <v>-29682</v>
          </cell>
        </row>
        <row r="45">
          <cell r="R45">
            <v>-4931986</v>
          </cell>
        </row>
        <row r="47">
          <cell r="R47">
            <v>0</v>
          </cell>
        </row>
        <row r="49">
          <cell r="R49">
            <v>-1962723</v>
          </cell>
        </row>
        <row r="50">
          <cell r="R50">
            <v>-2969263</v>
          </cell>
        </row>
        <row r="67">
          <cell r="R67">
            <v>537410.36356998235</v>
          </cell>
        </row>
      </sheetData>
      <sheetData sheetId="1"/>
      <sheetData sheetId="2"/>
      <sheetData sheetId="3"/>
      <sheetData sheetId="4">
        <row r="18">
          <cell r="R18">
            <v>183966537</v>
          </cell>
        </row>
        <row r="19">
          <cell r="R19">
            <v>66829447</v>
          </cell>
        </row>
        <row r="23">
          <cell r="R23">
            <v>-4349966</v>
          </cell>
        </row>
        <row r="25">
          <cell r="R25">
            <v>0</v>
          </cell>
        </row>
        <row r="27">
          <cell r="R27">
            <v>871744.25600000005</v>
          </cell>
        </row>
        <row r="32">
          <cell r="R32">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W13">
            <v>11567828</v>
          </cell>
        </row>
        <row r="23">
          <cell r="W23">
            <v>43402900</v>
          </cell>
        </row>
        <row r="25">
          <cell r="W25">
            <v>49600848</v>
          </cell>
        </row>
        <row r="26">
          <cell r="W26">
            <v>-6085389</v>
          </cell>
        </row>
        <row r="27">
          <cell r="W27">
            <v>-112559</v>
          </cell>
        </row>
        <row r="31">
          <cell r="W31">
            <v>0</v>
          </cell>
        </row>
        <row r="32">
          <cell r="W32">
            <v>0</v>
          </cell>
        </row>
        <row r="33">
          <cell r="W33">
            <v>0</v>
          </cell>
        </row>
        <row r="36">
          <cell r="W36">
            <v>28489</v>
          </cell>
        </row>
        <row r="37">
          <cell r="W37">
            <v>-28489</v>
          </cell>
        </row>
        <row r="44">
          <cell r="W44">
            <v>-8699700</v>
          </cell>
        </row>
        <row r="46">
          <cell r="W46">
            <v>0</v>
          </cell>
        </row>
        <row r="47">
          <cell r="W47">
            <v>0</v>
          </cell>
        </row>
        <row r="49">
          <cell r="W49">
            <v>-5604275</v>
          </cell>
        </row>
        <row r="50">
          <cell r="W50">
            <v>-3095425</v>
          </cell>
        </row>
        <row r="67">
          <cell r="W67">
            <v>-23974845.376640022</v>
          </cell>
        </row>
        <row r="70">
          <cell r="W70">
            <v>2527515</v>
          </cell>
        </row>
        <row r="71">
          <cell r="W71">
            <v>0</v>
          </cell>
        </row>
        <row r="72">
          <cell r="W72">
            <v>0</v>
          </cell>
        </row>
        <row r="73">
          <cell r="W73">
            <v>0</v>
          </cell>
        </row>
      </sheetData>
      <sheetData sheetId="1"/>
      <sheetData sheetId="2"/>
      <sheetData sheetId="3"/>
      <sheetData sheetId="4">
        <row r="18">
          <cell r="W18">
            <v>174786407</v>
          </cell>
        </row>
        <row r="19">
          <cell r="W19">
            <v>98982577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G13">
            <v>-5974831</v>
          </cell>
        </row>
        <row r="23">
          <cell r="AG23">
            <v>37229982</v>
          </cell>
        </row>
        <row r="25">
          <cell r="AG25">
            <v>44319358</v>
          </cell>
        </row>
        <row r="26">
          <cell r="AG26">
            <v>-6877121</v>
          </cell>
        </row>
        <row r="27">
          <cell r="AG27">
            <v>-212255</v>
          </cell>
        </row>
        <row r="31">
          <cell r="AG31">
            <v>0</v>
          </cell>
        </row>
        <row r="32">
          <cell r="AG32">
            <v>0</v>
          </cell>
        </row>
        <row r="33">
          <cell r="AG33">
            <v>0</v>
          </cell>
        </row>
        <row r="36">
          <cell r="AG36">
            <v>41191</v>
          </cell>
        </row>
        <row r="37">
          <cell r="AG37">
            <v>-41191</v>
          </cell>
        </row>
        <row r="44">
          <cell r="AG44">
            <v>0</v>
          </cell>
        </row>
        <row r="46">
          <cell r="AG46">
            <v>0</v>
          </cell>
        </row>
        <row r="47">
          <cell r="AG47">
            <v>0</v>
          </cell>
        </row>
        <row r="49">
          <cell r="AG49">
            <v>0</v>
          </cell>
        </row>
        <row r="50">
          <cell r="AG50">
            <v>0</v>
          </cell>
        </row>
        <row r="67">
          <cell r="AG67">
            <v>32418642.456500009</v>
          </cell>
        </row>
        <row r="70">
          <cell r="AG70">
            <v>26866570</v>
          </cell>
        </row>
        <row r="71">
          <cell r="AG71">
            <v>0</v>
          </cell>
        </row>
        <row r="72">
          <cell r="AG72">
            <v>0</v>
          </cell>
        </row>
        <row r="73">
          <cell r="AG73">
            <v>0</v>
          </cell>
        </row>
      </sheetData>
      <sheetData sheetId="1"/>
      <sheetData sheetId="2"/>
      <sheetData sheetId="3"/>
      <sheetData sheetId="4">
        <row r="18">
          <cell r="AG18">
            <v>178904480</v>
          </cell>
        </row>
        <row r="19">
          <cell r="AG19">
            <v>106552857</v>
          </cell>
        </row>
        <row r="28">
          <cell r="H28">
            <v>4082765.4477415099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row>
        <row r="9">
          <cell r="H9" t="str">
            <v>Revised</v>
          </cell>
        </row>
        <row r="13">
          <cell r="AL13">
            <v>1315362</v>
          </cell>
        </row>
        <row r="23">
          <cell r="AL23">
            <v>50427153</v>
          </cell>
        </row>
        <row r="25">
          <cell r="AL25">
            <v>61486843</v>
          </cell>
        </row>
        <row r="26">
          <cell r="AL26">
            <v>-10836667</v>
          </cell>
        </row>
        <row r="27">
          <cell r="AL27">
            <v>-223023</v>
          </cell>
        </row>
        <row r="31">
          <cell r="AL31">
            <v>0</v>
          </cell>
        </row>
        <row r="32">
          <cell r="AL32">
            <v>0</v>
          </cell>
        </row>
        <row r="33">
          <cell r="AL33">
            <v>0</v>
          </cell>
        </row>
        <row r="36">
          <cell r="AL36">
            <v>18552</v>
          </cell>
        </row>
        <row r="37">
          <cell r="AL37">
            <v>-18552</v>
          </cell>
        </row>
        <row r="44">
          <cell r="AL44">
            <v>0</v>
          </cell>
        </row>
        <row r="46">
          <cell r="AL46">
            <v>0</v>
          </cell>
        </row>
        <row r="47">
          <cell r="AL47">
            <v>0</v>
          </cell>
        </row>
        <row r="49">
          <cell r="AL49">
            <v>0</v>
          </cell>
        </row>
        <row r="50">
          <cell r="AL50">
            <v>0</v>
          </cell>
        </row>
        <row r="67">
          <cell r="AL67">
            <v>-8875713.0291699618</v>
          </cell>
        </row>
        <row r="70">
          <cell r="AL70">
            <v>-5977613</v>
          </cell>
        </row>
        <row r="71">
          <cell r="AL71">
            <v>0</v>
          </cell>
        </row>
        <row r="72">
          <cell r="AL72">
            <v>3836</v>
          </cell>
        </row>
        <row r="73">
          <cell r="AL73">
            <v>0</v>
          </cell>
        </row>
      </sheetData>
      <sheetData sheetId="1">
        <row r="9">
          <cell r="G9" t="str">
            <v>Revised</v>
          </cell>
        </row>
        <row r="13">
          <cell r="G13">
            <v>496423000</v>
          </cell>
          <cell r="L13">
            <v>38350619</v>
          </cell>
          <cell r="Q13">
            <v>45031287.743999995</v>
          </cell>
          <cell r="V13">
            <v>49600848</v>
          </cell>
          <cell r="AA13">
            <v>69933031</v>
          </cell>
          <cell r="AF13">
            <v>44319358</v>
          </cell>
          <cell r="AK13">
            <v>61486843</v>
          </cell>
          <cell r="AP13">
            <v>0</v>
          </cell>
          <cell r="AU13">
            <v>0</v>
          </cell>
          <cell r="AZ13">
            <v>0</v>
          </cell>
          <cell r="BE13">
            <v>0</v>
          </cell>
          <cell r="BJ13">
            <v>0</v>
          </cell>
          <cell r="BO13">
            <v>0</v>
          </cell>
          <cell r="BT13">
            <v>308721986.74399996</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cell r="BT15">
            <v>605250</v>
          </cell>
        </row>
        <row r="16">
          <cell r="L16">
            <v>0</v>
          </cell>
          <cell r="Q16">
            <v>0</v>
          </cell>
          <cell r="V16">
            <v>0</v>
          </cell>
          <cell r="AA16">
            <v>0</v>
          </cell>
          <cell r="AF16">
            <v>0</v>
          </cell>
          <cell r="AK16">
            <v>0</v>
          </cell>
          <cell r="AP16">
            <v>0</v>
          </cell>
          <cell r="AU16">
            <v>0</v>
          </cell>
          <cell r="AZ16">
            <v>0</v>
          </cell>
          <cell r="BE16">
            <v>0</v>
          </cell>
          <cell r="BJ16">
            <v>0</v>
          </cell>
          <cell r="BO16">
            <v>0</v>
          </cell>
          <cell r="BT16">
            <v>0</v>
          </cell>
        </row>
        <row r="20">
          <cell r="G20">
            <v>33923000</v>
          </cell>
          <cell r="L20">
            <v>4299769</v>
          </cell>
          <cell r="Q20">
            <v>4058204</v>
          </cell>
          <cell r="V20">
            <v>6085389</v>
          </cell>
          <cell r="AA20">
            <v>8992564</v>
          </cell>
          <cell r="AF20">
            <v>6877121</v>
          </cell>
          <cell r="AK20">
            <v>10836667</v>
          </cell>
          <cell r="AP20">
            <v>0</v>
          </cell>
          <cell r="AU20">
            <v>0</v>
          </cell>
          <cell r="AZ20">
            <v>0</v>
          </cell>
          <cell r="BE20">
            <v>0</v>
          </cell>
          <cell r="BJ20">
            <v>0</v>
          </cell>
          <cell r="BO20">
            <v>0</v>
          </cell>
          <cell r="BT20">
            <v>41149714</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row>
        <row r="13">
          <cell r="G13">
            <v>52465000</v>
          </cell>
          <cell r="L13">
            <v>1200137</v>
          </cell>
          <cell r="Q13">
            <v>335047</v>
          </cell>
          <cell r="V13">
            <v>112559</v>
          </cell>
          <cell r="AA13">
            <v>339545</v>
          </cell>
          <cell r="AF13">
            <v>212255</v>
          </cell>
          <cell r="AK13">
            <v>223023</v>
          </cell>
          <cell r="AP13">
            <v>0</v>
          </cell>
          <cell r="AU13">
            <v>0</v>
          </cell>
          <cell r="AZ13">
            <v>0</v>
          </cell>
          <cell r="BE13">
            <v>0</v>
          </cell>
          <cell r="BJ13">
            <v>0</v>
          </cell>
          <cell r="BO13">
            <v>0</v>
          </cell>
          <cell r="BT13">
            <v>2422566</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cell r="BT15">
            <v>605250</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row>
        <row r="211">
          <cell r="BV211">
            <v>0</v>
          </cell>
        </row>
      </sheetData>
      <sheetData sheetId="3">
        <row r="9">
          <cell r="G9" t="str">
            <v>Revised</v>
          </cell>
        </row>
        <row r="17">
          <cell r="G17">
            <v>125230000</v>
          </cell>
          <cell r="L17">
            <v>0</v>
          </cell>
          <cell r="Q17">
            <v>0</v>
          </cell>
          <cell r="V17">
            <v>0</v>
          </cell>
          <cell r="AA17">
            <v>86911584</v>
          </cell>
          <cell r="AF17">
            <v>0</v>
          </cell>
          <cell r="AK17">
            <v>0</v>
          </cell>
          <cell r="AP17">
            <v>0</v>
          </cell>
          <cell r="AU17">
            <v>0</v>
          </cell>
          <cell r="AZ17">
            <v>0</v>
          </cell>
          <cell r="BE17">
            <v>0</v>
          </cell>
          <cell r="BJ17">
            <v>0</v>
          </cell>
          <cell r="BO17">
            <v>0</v>
          </cell>
          <cell r="BT17">
            <v>86911584</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row>
        <row r="63">
          <cell r="G63">
            <v>0</v>
          </cell>
          <cell r="L63">
            <v>0</v>
          </cell>
          <cell r="Q63">
            <v>0</v>
          </cell>
          <cell r="V63">
            <v>0</v>
          </cell>
          <cell r="AA63">
            <v>0</v>
          </cell>
          <cell r="AF63">
            <v>0</v>
          </cell>
          <cell r="AK63">
            <v>0</v>
          </cell>
          <cell r="AP63">
            <v>0</v>
          </cell>
          <cell r="AU63">
            <v>0</v>
          </cell>
          <cell r="AZ63">
            <v>0</v>
          </cell>
          <cell r="BE63">
            <v>0</v>
          </cell>
          <cell r="BJ63">
            <v>0</v>
          </cell>
          <cell r="BO63">
            <v>0</v>
          </cell>
          <cell r="BT63">
            <v>0</v>
          </cell>
        </row>
        <row r="65">
          <cell r="G65">
            <v>0</v>
          </cell>
          <cell r="L65">
            <v>0</v>
          </cell>
          <cell r="Q65">
            <v>0</v>
          </cell>
          <cell r="V65">
            <v>0</v>
          </cell>
          <cell r="AA65">
            <v>0</v>
          </cell>
          <cell r="AF65">
            <v>0</v>
          </cell>
          <cell r="AK65">
            <v>0</v>
          </cell>
          <cell r="AP65">
            <v>0</v>
          </cell>
          <cell r="AU65">
            <v>0</v>
          </cell>
          <cell r="AZ65">
            <v>0</v>
          </cell>
          <cell r="BE65">
            <v>0</v>
          </cell>
          <cell r="BJ65">
            <v>0</v>
          </cell>
          <cell r="BO65">
            <v>0</v>
          </cell>
          <cell r="BT65">
            <v>0</v>
          </cell>
        </row>
        <row r="73">
          <cell r="L73">
            <v>0</v>
          </cell>
          <cell r="Q73">
            <v>0</v>
          </cell>
          <cell r="V73">
            <v>0</v>
          </cell>
          <cell r="AA73">
            <v>0</v>
          </cell>
          <cell r="AF73">
            <v>0</v>
          </cell>
          <cell r="AK73">
            <v>0</v>
          </cell>
          <cell r="AP73">
            <v>0</v>
          </cell>
          <cell r="AU73">
            <v>0</v>
          </cell>
          <cell r="AZ73">
            <v>0</v>
          </cell>
          <cell r="BE73">
            <v>0</v>
          </cell>
          <cell r="BJ73">
            <v>0</v>
          </cell>
          <cell r="BO73">
            <v>0</v>
          </cell>
          <cell r="BT73">
            <v>0</v>
          </cell>
        </row>
        <row r="75">
          <cell r="L75">
            <v>0</v>
          </cell>
          <cell r="Q75">
            <v>0</v>
          </cell>
          <cell r="V75">
            <v>0</v>
          </cell>
          <cell r="AA75">
            <v>0</v>
          </cell>
          <cell r="AF75">
            <v>0</v>
          </cell>
          <cell r="AK75">
            <v>0</v>
          </cell>
          <cell r="AP75">
            <v>0</v>
          </cell>
          <cell r="AU75">
            <v>0</v>
          </cell>
          <cell r="AZ75">
            <v>0</v>
          </cell>
          <cell r="BE75">
            <v>0</v>
          </cell>
          <cell r="BJ75">
            <v>0</v>
          </cell>
          <cell r="BO75">
            <v>0</v>
          </cell>
          <cell r="BT75">
            <v>0</v>
          </cell>
        </row>
        <row r="109">
          <cell r="G109">
            <v>7961000</v>
          </cell>
          <cell r="L109">
            <v>391647</v>
          </cell>
          <cell r="Q109">
            <v>1962723</v>
          </cell>
          <cell r="V109">
            <v>5604275</v>
          </cell>
          <cell r="AA109">
            <v>0</v>
          </cell>
          <cell r="AF109">
            <v>0</v>
          </cell>
          <cell r="AK109">
            <v>0</v>
          </cell>
          <cell r="AP109">
            <v>0</v>
          </cell>
          <cell r="AU109">
            <v>0</v>
          </cell>
          <cell r="AZ109">
            <v>0</v>
          </cell>
          <cell r="BE109">
            <v>0</v>
          </cell>
          <cell r="BJ109">
            <v>0</v>
          </cell>
          <cell r="BO109">
            <v>0</v>
          </cell>
          <cell r="BT109">
            <v>7958645</v>
          </cell>
        </row>
        <row r="110">
          <cell r="G110">
            <v>6701000</v>
          </cell>
          <cell r="L110">
            <v>386018</v>
          </cell>
          <cell r="Q110">
            <v>2969263</v>
          </cell>
          <cell r="V110">
            <v>3095425</v>
          </cell>
          <cell r="AA110">
            <v>0</v>
          </cell>
          <cell r="AF110">
            <v>0</v>
          </cell>
          <cell r="AK110">
            <v>0</v>
          </cell>
          <cell r="AP110">
            <v>0</v>
          </cell>
          <cell r="AU110">
            <v>0</v>
          </cell>
          <cell r="AZ110">
            <v>0</v>
          </cell>
          <cell r="BE110">
            <v>0</v>
          </cell>
          <cell r="BJ110">
            <v>0</v>
          </cell>
          <cell r="BO110">
            <v>0</v>
          </cell>
          <cell r="BT110">
            <v>6450706</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row>
        <row r="158">
          <cell r="G158">
            <v>0</v>
          </cell>
          <cell r="L158">
            <v>0</v>
          </cell>
          <cell r="Q158">
            <v>0</v>
          </cell>
          <cell r="V158">
            <v>0</v>
          </cell>
          <cell r="AA158">
            <v>0</v>
          </cell>
          <cell r="AF158">
            <v>0</v>
          </cell>
          <cell r="AK158">
            <v>0</v>
          </cell>
          <cell r="AP158">
            <v>0</v>
          </cell>
          <cell r="AU158">
            <v>0</v>
          </cell>
          <cell r="AZ158">
            <v>0</v>
          </cell>
          <cell r="BE158">
            <v>0</v>
          </cell>
          <cell r="BJ158">
            <v>0</v>
          </cell>
          <cell r="BO158">
            <v>0</v>
          </cell>
          <cell r="BT15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row>
        <row r="170">
          <cell r="L170">
            <v>0</v>
          </cell>
          <cell r="Q170">
            <v>0</v>
          </cell>
          <cell r="V170">
            <v>0</v>
          </cell>
          <cell r="AA170">
            <v>0</v>
          </cell>
          <cell r="AF170">
            <v>0</v>
          </cell>
          <cell r="AK170">
            <v>0</v>
          </cell>
          <cell r="AP170">
            <v>0</v>
          </cell>
          <cell r="AU170">
            <v>0</v>
          </cell>
          <cell r="AZ170">
            <v>0</v>
          </cell>
          <cell r="BE170">
            <v>0</v>
          </cell>
          <cell r="BJ170">
            <v>0</v>
          </cell>
          <cell r="BO170">
            <v>0</v>
          </cell>
          <cell r="BT170">
            <v>0</v>
          </cell>
        </row>
        <row r="228">
          <cell r="BV228">
            <v>0</v>
          </cell>
        </row>
        <row r="229">
          <cell r="BV229">
            <v>0</v>
          </cell>
        </row>
        <row r="240">
          <cell r="BV240">
            <v>0</v>
          </cell>
        </row>
        <row r="241">
          <cell r="BV241">
            <v>0</v>
          </cell>
        </row>
      </sheetData>
      <sheetData sheetId="4">
        <row r="12">
          <cell r="H12">
            <v>38975668</v>
          </cell>
          <cell r="M12">
            <v>-18484170</v>
          </cell>
          <cell r="R12">
            <v>3349854</v>
          </cell>
          <cell r="W12">
            <v>-22973000</v>
          </cell>
          <cell r="AB12">
            <v>-53649787</v>
          </cell>
          <cell r="AG12">
            <v>41961434</v>
          </cell>
          <cell r="AL12">
            <v>-13252498</v>
          </cell>
          <cell r="AQ12">
            <v>298709835</v>
          </cell>
          <cell r="AV12">
            <v>0</v>
          </cell>
          <cell r="BA12">
            <v>0</v>
          </cell>
          <cell r="BF12">
            <v>0</v>
          </cell>
          <cell r="BK12">
            <v>0</v>
          </cell>
          <cell r="BP12">
            <v>0</v>
          </cell>
          <cell r="BU12">
            <v>-63048167</v>
          </cell>
        </row>
        <row r="18">
          <cell r="AL18">
            <v>162851119</v>
          </cell>
        </row>
        <row r="19">
          <cell r="AL19">
            <v>135858716</v>
          </cell>
        </row>
        <row r="23">
          <cell r="H23">
            <v>0</v>
          </cell>
          <cell r="M23">
            <v>34143659</v>
          </cell>
          <cell r="R23">
            <v>-4349966</v>
          </cell>
          <cell r="W23">
            <v>2527515</v>
          </cell>
          <cell r="AB23">
            <v>-24856159</v>
          </cell>
          <cell r="AG23">
            <v>26866570</v>
          </cell>
          <cell r="AL23">
            <v>-5977613</v>
          </cell>
          <cell r="AQ23">
            <v>0</v>
          </cell>
          <cell r="AV23">
            <v>0</v>
          </cell>
          <cell r="BA23">
            <v>0</v>
          </cell>
          <cell r="BF23">
            <v>0</v>
          </cell>
          <cell r="BK23">
            <v>0</v>
          </cell>
          <cell r="BP23">
            <v>0</v>
          </cell>
          <cell r="BU23">
            <v>28354006</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row>
        <row r="27">
          <cell r="H27">
            <v>4082765.4477415099</v>
          </cell>
          <cell r="M27">
            <v>0</v>
          </cell>
          <cell r="R27">
            <v>871744.25600000005</v>
          </cell>
          <cell r="W27">
            <v>0</v>
          </cell>
          <cell r="AB27">
            <v>126224</v>
          </cell>
          <cell r="AG27">
            <v>0</v>
          </cell>
          <cell r="AL27">
            <v>3836</v>
          </cell>
          <cell r="AQ27">
            <v>0</v>
          </cell>
          <cell r="AV27">
            <v>0</v>
          </cell>
          <cell r="BA27">
            <v>0</v>
          </cell>
          <cell r="BF27">
            <v>0</v>
          </cell>
          <cell r="BK27">
            <v>0</v>
          </cell>
          <cell r="BP27">
            <v>0</v>
          </cell>
          <cell r="BU27">
            <v>1001804.2560000001</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row>
        <row r="38">
          <cell r="H38">
            <v>0</v>
          </cell>
          <cell r="M38">
            <v>-34158767.953769997</v>
          </cell>
          <cell r="R38">
            <v>665778.1075699823</v>
          </cell>
          <cell r="W38">
            <v>-3529360.3766400218</v>
          </cell>
          <cell r="AB38">
            <v>39129472.039829999</v>
          </cell>
          <cell r="AG38">
            <v>-36409361.543499991</v>
          </cell>
          <cell r="AL38">
            <v>10350561.970830038</v>
          </cell>
          <cell r="AQ38">
            <v>0</v>
          </cell>
          <cell r="AV38">
            <v>0</v>
          </cell>
          <cell r="BA38">
            <v>0</v>
          </cell>
          <cell r="BF38">
            <v>0</v>
          </cell>
          <cell r="BK38">
            <v>0</v>
          </cell>
          <cell r="BP38">
            <v>0</v>
          </cell>
          <cell r="BU38">
            <v>-23951677.755679995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Current YR TB"/>
      <sheetName val="Prior YR TB"/>
      <sheetName val="Exceptions"/>
      <sheetName val="Recon DWS Appropriation"/>
      <sheetName val="Recon STATS SA appropriation"/>
      <sheetName val="Recon to Budget Deficit"/>
      <sheetName val="Recon Note 22"/>
      <sheetName val="Recon Statement 15 Current YR "/>
      <sheetName val="Recon Statement 15 Prior YR"/>
      <sheetName val="Restated Reval New Dev Ba Pri Y"/>
      <sheetName val="ALM AFS"/>
      <sheetName val="ALM amended note 11 2017-2018"/>
      <sheetName val="ALM note 11 2017-2018"/>
      <sheetName val="ALM note 11 2016-2017 f"/>
      <sheetName val="Accounting Officers Review"/>
      <sheetName val="Graphs"/>
      <sheetName val="alm note 11 2016-2017"/>
      <sheetName val="ALM Note 11 2015-2016"/>
      <sheetName val="New Dev Bank CY"/>
      <sheetName val="Recon to Cash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E12">
            <v>1248949211.9916499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row r="37">
          <cell r="C37">
            <v>1287690241</v>
          </cell>
        </row>
        <row r="40">
          <cell r="C40">
            <v>42426677</v>
          </cell>
        </row>
        <row r="41">
          <cell r="C41">
            <v>19116523</v>
          </cell>
        </row>
        <row r="42">
          <cell r="C42">
            <v>8611781</v>
          </cell>
        </row>
        <row r="43">
          <cell r="C43">
            <v>413477</v>
          </cell>
        </row>
        <row r="44">
          <cell r="C44">
            <v>61</v>
          </cell>
        </row>
      </sheetData>
      <sheetData sheetId="18" refreshError="1">
        <row r="80">
          <cell r="J80">
            <v>11449096</v>
          </cell>
        </row>
      </sheetData>
      <sheetData sheetId="19" refreshError="1">
        <row r="38">
          <cell r="C38">
            <v>11999373</v>
          </cell>
        </row>
      </sheetData>
      <sheetData sheetId="20" refreshError="1"/>
      <sheetData sheetId="21" refreshError="1"/>
      <sheetData sheetId="22" refreshError="1"/>
      <sheetData sheetId="23" refreshError="1"/>
      <sheetData sheetId="24" refreshError="1"/>
      <sheetData sheetId="25" refreshError="1">
        <row r="53">
          <cell r="D53">
            <v>2816474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63">
          <cell r="H63">
            <v>136862486.72</v>
          </cell>
          <cell r="J63">
            <v>167970512.80999997</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F6">
            <v>17167000</v>
          </cell>
          <cell r="J6">
            <v>3550323</v>
          </cell>
        </row>
        <row r="40">
          <cell r="J40">
            <v>0</v>
          </cell>
          <cell r="X40">
            <v>-119906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row>
        <row r="40">
          <cell r="G40">
            <v>-18</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row r="40">
          <cell r="H40">
            <v>-111334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row r="40">
          <cell r="I40">
            <v>-2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row r="40">
          <cell r="K40">
            <v>-1</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row r="40">
          <cell r="L40">
            <v>-66260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J40">
            <v>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-18</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-111334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-1</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L40">
            <v>-66260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G40">
            <v>-131872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H40">
            <v>-83878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F82">
            <v>34158767.953769997</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G82">
            <v>-665778.1075699823</v>
          </cell>
        </row>
      </sheetData>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H82">
            <v>3529360.3766400218</v>
          </cell>
        </row>
      </sheetData>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I82">
            <v>-39129472.039829999</v>
          </cell>
        </row>
      </sheetData>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J82">
            <v>36409361.543499991</v>
          </cell>
        </row>
      </sheetData>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K82">
            <v>-10350561.970830038</v>
          </cell>
        </row>
      </sheetData>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s>
    <sheetDataSet>
      <sheetData sheetId="0">
        <row r="58">
          <cell r="F58">
            <v>651000</v>
          </cell>
        </row>
        <row r="59">
          <cell r="F59">
            <v>42263000</v>
          </cell>
        </row>
        <row r="60">
          <cell r="F60">
            <v>0</v>
          </cell>
        </row>
        <row r="61">
          <cell r="F61">
            <v>0</v>
          </cell>
        </row>
        <row r="62">
          <cell r="F62">
            <v>0</v>
          </cell>
        </row>
        <row r="63">
          <cell r="F63">
            <v>1617743000</v>
          </cell>
        </row>
        <row r="64">
          <cell r="F64">
            <v>204052000</v>
          </cell>
        </row>
        <row r="65">
          <cell r="F65">
            <v>97459000</v>
          </cell>
        </row>
        <row r="66">
          <cell r="F66">
            <v>0</v>
          </cell>
        </row>
        <row r="80">
          <cell r="F80">
            <v>44872627000</v>
          </cell>
        </row>
        <row r="92">
          <cell r="G92">
            <v>4206399562.9699993</v>
          </cell>
        </row>
      </sheetData>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s>
    <sheetDataSet>
      <sheetData sheetId="0" refreshError="1"/>
      <sheetData sheetId="1" refreshError="1">
        <row r="58">
          <cell r="F58">
            <v>651000</v>
          </cell>
        </row>
        <row r="59">
          <cell r="F59">
            <v>42263000</v>
          </cell>
        </row>
        <row r="60">
          <cell r="F60">
            <v>0</v>
          </cell>
        </row>
        <row r="61">
          <cell r="F61">
            <v>0</v>
          </cell>
        </row>
        <row r="62">
          <cell r="F62">
            <v>0</v>
          </cell>
        </row>
        <row r="63">
          <cell r="F63">
            <v>1617741000</v>
          </cell>
        </row>
        <row r="64">
          <cell r="F64">
            <v>202104000</v>
          </cell>
        </row>
        <row r="65">
          <cell r="F65">
            <v>87163000</v>
          </cell>
        </row>
        <row r="66">
          <cell r="F66">
            <v>0</v>
          </cell>
        </row>
        <row r="80">
          <cell r="F80">
            <v>44872627000</v>
          </cell>
        </row>
        <row r="92">
          <cell r="F92">
            <v>1879102871.3900003</v>
          </cell>
        </row>
      </sheetData>
      <sheetData sheetId="2" refreshError="1">
        <row r="58">
          <cell r="F58">
            <v>651000</v>
          </cell>
        </row>
        <row r="59">
          <cell r="F59">
            <v>42263000</v>
          </cell>
        </row>
        <row r="60">
          <cell r="F60">
            <v>40000000</v>
          </cell>
        </row>
        <row r="61">
          <cell r="F61">
            <v>0</v>
          </cell>
        </row>
        <row r="62">
          <cell r="F62">
            <v>0</v>
          </cell>
        </row>
        <row r="63">
          <cell r="F63">
            <v>1118322000</v>
          </cell>
        </row>
        <row r="64">
          <cell r="F64">
            <v>203308000</v>
          </cell>
        </row>
        <row r="65">
          <cell r="F65">
            <v>89666000</v>
          </cell>
        </row>
        <row r="66">
          <cell r="F66">
            <v>0</v>
          </cell>
        </row>
        <row r="80">
          <cell r="F80">
            <v>44872627000</v>
          </cell>
        </row>
        <row r="92">
          <cell r="F92">
            <v>22441442097.009998</v>
          </cell>
        </row>
      </sheetData>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12375928</v>
          </cell>
        </row>
        <row r="32">
          <cell r="BP32">
            <v>0</v>
          </cell>
        </row>
        <row r="33">
          <cell r="BP33">
            <v>0</v>
          </cell>
        </row>
        <row r="34">
          <cell r="BP34">
            <v>0</v>
          </cell>
        </row>
      </sheetData>
      <sheetData sheetId="1"/>
      <sheetData sheetId="2"/>
      <sheetData sheetId="3"/>
      <sheetData sheetId="4">
        <row r="18">
          <cell r="R18">
            <v>159100607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Q13">
            <v>7778423</v>
          </cell>
        </row>
        <row r="32">
          <cell r="AQ32">
            <v>0</v>
          </cell>
        </row>
        <row r="33">
          <cell r="AQ33">
            <v>0</v>
          </cell>
        </row>
        <row r="34">
          <cell r="AQ34">
            <v>0</v>
          </cell>
        </row>
      </sheetData>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AV32">
            <v>0</v>
          </cell>
        </row>
        <row r="33">
          <cell r="AV33">
            <v>0</v>
          </cell>
        </row>
        <row r="34">
          <cell r="AV34">
            <v>0</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A32">
            <v>0</v>
          </cell>
        </row>
        <row r="33">
          <cell r="BA33">
            <v>0</v>
          </cell>
        </row>
        <row r="34">
          <cell r="BA34">
            <v>0</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F32">
            <v>0</v>
          </cell>
        </row>
        <row r="33">
          <cell r="BF33">
            <v>0</v>
          </cell>
        </row>
        <row r="34">
          <cell r="BF34">
            <v>0</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K32">
            <v>0</v>
          </cell>
        </row>
        <row r="33">
          <cell r="BK33">
            <v>0</v>
          </cell>
        </row>
        <row r="34">
          <cell r="BK34">
            <v>0</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H55">
            <v>0</v>
          </cell>
          <cell r="M55">
            <v>0</v>
          </cell>
        </row>
        <row r="56">
          <cell r="H56">
            <v>0</v>
          </cell>
          <cell r="M56">
            <v>0</v>
          </cell>
        </row>
        <row r="58">
          <cell r="H58">
            <v>0</v>
          </cell>
          <cell r="M58">
            <v>0</v>
          </cell>
        </row>
        <row r="59">
          <cell r="H59">
            <v>0</v>
          </cell>
          <cell r="M59">
            <v>0</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R55">
            <v>0</v>
          </cell>
        </row>
        <row r="56">
          <cell r="R56">
            <v>0</v>
          </cell>
        </row>
        <row r="58">
          <cell r="R58">
            <v>0</v>
          </cell>
        </row>
        <row r="59">
          <cell r="R59">
            <v>0</v>
          </cell>
        </row>
      </sheetData>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BP55">
            <v>0</v>
          </cell>
        </row>
        <row r="56">
          <cell r="BP56">
            <v>0</v>
          </cell>
        </row>
        <row r="58">
          <cell r="BP58">
            <v>0</v>
          </cell>
        </row>
        <row r="59">
          <cell r="BP59">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239"/>
  <sheetViews>
    <sheetView topLeftCell="A3" workbookViewId="0">
      <selection activeCell="G19" sqref="G19:T19"/>
    </sheetView>
  </sheetViews>
  <sheetFormatPr defaultColWidth="3" defaultRowHeight="12.75" x14ac:dyDescent="0.25"/>
  <cols>
    <col min="1" max="1" width="0.85546875" style="10" customWidth="1"/>
    <col min="2" max="2" width="1" style="10" customWidth="1"/>
    <col min="3" max="3" width="1.28515625" style="10" customWidth="1"/>
    <col min="4" max="4" width="50.5703125" style="10" customWidth="1"/>
    <col min="5" max="5" width="4.7109375" style="10" customWidth="1"/>
    <col min="6" max="6" width="5.7109375" style="10" customWidth="1"/>
    <col min="7" max="13" width="16.28515625" style="10" customWidth="1"/>
    <col min="14" max="19" width="16.28515625" style="10" hidden="1" customWidth="1"/>
    <col min="20" max="20" width="16.28515625" style="10" customWidth="1"/>
    <col min="21" max="21" width="1.7109375" style="10" customWidth="1"/>
    <col min="22" max="22" width="12.7109375" style="10" customWidth="1"/>
    <col min="23" max="23" width="11.28515625" style="10" bestFit="1" customWidth="1"/>
    <col min="24" max="35" width="8.7109375" style="10" customWidth="1"/>
    <col min="36" max="36" width="10.28515625" style="10" customWidth="1"/>
    <col min="37" max="37" width="9.28515625" style="10" customWidth="1"/>
    <col min="38" max="38" width="7.7109375" style="10" customWidth="1"/>
    <col min="39" max="39" width="7.28515625" style="10" customWidth="1"/>
    <col min="40" max="40" width="3.7109375" style="10" customWidth="1"/>
    <col min="41" max="44" width="3.140625" style="10" customWidth="1"/>
    <col min="45" max="45" width="4" style="10" customWidth="1"/>
    <col min="46" max="46" width="3.28515625" style="10" customWidth="1"/>
    <col min="47" max="49" width="3.140625" style="10" customWidth="1"/>
    <col min="50" max="50" width="9.28515625" style="10" customWidth="1"/>
    <col min="51" max="52" width="3.140625" style="10" customWidth="1"/>
    <col min="53" max="95" width="1.7109375" style="10" customWidth="1"/>
    <col min="96" max="242" width="3" style="10"/>
    <col min="243" max="243" width="0.85546875" style="10" customWidth="1"/>
    <col min="244" max="244" width="1" style="10" customWidth="1"/>
    <col min="245" max="245" width="1.28515625" style="10" customWidth="1"/>
    <col min="246" max="246" width="50.5703125" style="10" customWidth="1"/>
    <col min="247" max="247" width="4.7109375" style="10" customWidth="1"/>
    <col min="248" max="248" width="5.7109375" style="10" customWidth="1"/>
    <col min="249" max="249" width="20.5703125" style="10" customWidth="1"/>
    <col min="250" max="254" width="0" style="10" hidden="1" customWidth="1"/>
    <col min="255" max="255" width="16.28515625" style="10" customWidth="1"/>
    <col min="256" max="261" width="0" style="10" hidden="1" customWidth="1"/>
    <col min="262" max="262" width="16.7109375" style="10" customWidth="1"/>
    <col min="263" max="263" width="16.28515625" style="10" customWidth="1"/>
    <col min="264" max="268" width="0" style="10" hidden="1" customWidth="1"/>
    <col min="269" max="269" width="17.140625" style="10" customWidth="1"/>
    <col min="270" max="275" width="0" style="10" hidden="1" customWidth="1"/>
    <col min="276" max="276" width="16.28515625" style="10" customWidth="1"/>
    <col min="277" max="277" width="1.7109375" style="10" customWidth="1"/>
    <col min="278" max="278" width="12.7109375" style="10" customWidth="1"/>
    <col min="279" max="279" width="11.28515625" style="10" bestFit="1" customWidth="1"/>
    <col min="280" max="291" width="8.7109375" style="10" customWidth="1"/>
    <col min="292" max="292" width="10.28515625" style="10" customWidth="1"/>
    <col min="293" max="293" width="9.28515625" style="10" customWidth="1"/>
    <col min="294" max="294" width="7.7109375" style="10" customWidth="1"/>
    <col min="295" max="295" width="7.28515625" style="10" customWidth="1"/>
    <col min="296" max="296" width="3.7109375" style="10" customWidth="1"/>
    <col min="297" max="300" width="3.140625" style="10" customWidth="1"/>
    <col min="301" max="301" width="4" style="10" customWidth="1"/>
    <col min="302" max="302" width="3.28515625" style="10" customWidth="1"/>
    <col min="303" max="305" width="3.140625" style="10" customWidth="1"/>
    <col min="306" max="306" width="9.28515625" style="10" customWidth="1"/>
    <col min="307" max="308" width="3.140625" style="10" customWidth="1"/>
    <col min="309" max="351" width="1.7109375" style="10" customWidth="1"/>
    <col min="352" max="498" width="3" style="10"/>
    <col min="499" max="499" width="0.85546875" style="10" customWidth="1"/>
    <col min="500" max="500" width="1" style="10" customWidth="1"/>
    <col min="501" max="501" width="1.28515625" style="10" customWidth="1"/>
    <col min="502" max="502" width="50.5703125" style="10" customWidth="1"/>
    <col min="503" max="503" width="4.7109375" style="10" customWidth="1"/>
    <col min="504" max="504" width="5.7109375" style="10" customWidth="1"/>
    <col min="505" max="505" width="20.5703125" style="10" customWidth="1"/>
    <col min="506" max="510" width="0" style="10" hidden="1" customWidth="1"/>
    <col min="511" max="511" width="16.28515625" style="10" customWidth="1"/>
    <col min="512" max="517" width="0" style="10" hidden="1" customWidth="1"/>
    <col min="518" max="518" width="16.7109375" style="10" customWidth="1"/>
    <col min="519" max="519" width="16.28515625" style="10" customWidth="1"/>
    <col min="520" max="524" width="0" style="10" hidden="1" customWidth="1"/>
    <col min="525" max="525" width="17.140625" style="10" customWidth="1"/>
    <col min="526" max="531" width="0" style="10" hidden="1" customWidth="1"/>
    <col min="532" max="532" width="16.28515625" style="10" customWidth="1"/>
    <col min="533" max="533" width="1.7109375" style="10" customWidth="1"/>
    <col min="534" max="534" width="12.7109375" style="10" customWidth="1"/>
    <col min="535" max="535" width="11.28515625" style="10" bestFit="1" customWidth="1"/>
    <col min="536" max="547" width="8.7109375" style="10" customWidth="1"/>
    <col min="548" max="548" width="10.28515625" style="10" customWidth="1"/>
    <col min="549" max="549" width="9.28515625" style="10" customWidth="1"/>
    <col min="550" max="550" width="7.7109375" style="10" customWidth="1"/>
    <col min="551" max="551" width="7.28515625" style="10" customWidth="1"/>
    <col min="552" max="552" width="3.7109375" style="10" customWidth="1"/>
    <col min="553" max="556" width="3.140625" style="10" customWidth="1"/>
    <col min="557" max="557" width="4" style="10" customWidth="1"/>
    <col min="558" max="558" width="3.28515625" style="10" customWidth="1"/>
    <col min="559" max="561" width="3.140625" style="10" customWidth="1"/>
    <col min="562" max="562" width="9.28515625" style="10" customWidth="1"/>
    <col min="563" max="564" width="3.140625" style="10" customWidth="1"/>
    <col min="565" max="607" width="1.7109375" style="10" customWidth="1"/>
    <col min="608" max="754" width="3" style="10"/>
    <col min="755" max="755" width="0.85546875" style="10" customWidth="1"/>
    <col min="756" max="756" width="1" style="10" customWidth="1"/>
    <col min="757" max="757" width="1.28515625" style="10" customWidth="1"/>
    <col min="758" max="758" width="50.5703125" style="10" customWidth="1"/>
    <col min="759" max="759" width="4.7109375" style="10" customWidth="1"/>
    <col min="760" max="760" width="5.7109375" style="10" customWidth="1"/>
    <col min="761" max="761" width="20.5703125" style="10" customWidth="1"/>
    <col min="762" max="766" width="0" style="10" hidden="1" customWidth="1"/>
    <col min="767" max="767" width="16.28515625" style="10" customWidth="1"/>
    <col min="768" max="773" width="0" style="10" hidden="1" customWidth="1"/>
    <col min="774" max="774" width="16.7109375" style="10" customWidth="1"/>
    <col min="775" max="775" width="16.28515625" style="10" customWidth="1"/>
    <col min="776" max="780" width="0" style="10" hidden="1" customWidth="1"/>
    <col min="781" max="781" width="17.140625" style="10" customWidth="1"/>
    <col min="782" max="787" width="0" style="10" hidden="1" customWidth="1"/>
    <col min="788" max="788" width="16.28515625" style="10" customWidth="1"/>
    <col min="789" max="789" width="1.7109375" style="10" customWidth="1"/>
    <col min="790" max="790" width="12.7109375" style="10" customWidth="1"/>
    <col min="791" max="791" width="11.28515625" style="10" bestFit="1" customWidth="1"/>
    <col min="792" max="803" width="8.7109375" style="10" customWidth="1"/>
    <col min="804" max="804" width="10.28515625" style="10" customWidth="1"/>
    <col min="805" max="805" width="9.28515625" style="10" customWidth="1"/>
    <col min="806" max="806" width="7.7109375" style="10" customWidth="1"/>
    <col min="807" max="807" width="7.28515625" style="10" customWidth="1"/>
    <col min="808" max="808" width="3.7109375" style="10" customWidth="1"/>
    <col min="809" max="812" width="3.140625" style="10" customWidth="1"/>
    <col min="813" max="813" width="4" style="10" customWidth="1"/>
    <col min="814" max="814" width="3.28515625" style="10" customWidth="1"/>
    <col min="815" max="817" width="3.140625" style="10" customWidth="1"/>
    <col min="818" max="818" width="9.28515625" style="10" customWidth="1"/>
    <col min="819" max="820" width="3.140625" style="10" customWidth="1"/>
    <col min="821" max="863" width="1.7109375" style="10" customWidth="1"/>
    <col min="864" max="1010" width="3" style="10"/>
    <col min="1011" max="1011" width="0.85546875" style="10" customWidth="1"/>
    <col min="1012" max="1012" width="1" style="10" customWidth="1"/>
    <col min="1013" max="1013" width="1.28515625" style="10" customWidth="1"/>
    <col min="1014" max="1014" width="50.5703125" style="10" customWidth="1"/>
    <col min="1015" max="1015" width="4.7109375" style="10" customWidth="1"/>
    <col min="1016" max="1016" width="5.7109375" style="10" customWidth="1"/>
    <col min="1017" max="1017" width="20.5703125" style="10" customWidth="1"/>
    <col min="1018" max="1022" width="0" style="10" hidden="1" customWidth="1"/>
    <col min="1023" max="1023" width="16.28515625" style="10" customWidth="1"/>
    <col min="1024" max="1029" width="0" style="10" hidden="1" customWidth="1"/>
    <col min="1030" max="1030" width="16.7109375" style="10" customWidth="1"/>
    <col min="1031" max="1031" width="16.28515625" style="10" customWidth="1"/>
    <col min="1032" max="1036" width="0" style="10" hidden="1" customWidth="1"/>
    <col min="1037" max="1037" width="17.140625" style="10" customWidth="1"/>
    <col min="1038" max="1043" width="0" style="10" hidden="1" customWidth="1"/>
    <col min="1044" max="1044" width="16.28515625" style="10" customWidth="1"/>
    <col min="1045" max="1045" width="1.7109375" style="10" customWidth="1"/>
    <col min="1046" max="1046" width="12.7109375" style="10" customWidth="1"/>
    <col min="1047" max="1047" width="11.28515625" style="10" bestFit="1" customWidth="1"/>
    <col min="1048" max="1059" width="8.7109375" style="10" customWidth="1"/>
    <col min="1060" max="1060" width="10.28515625" style="10" customWidth="1"/>
    <col min="1061" max="1061" width="9.28515625" style="10" customWidth="1"/>
    <col min="1062" max="1062" width="7.7109375" style="10" customWidth="1"/>
    <col min="1063" max="1063" width="7.28515625" style="10" customWidth="1"/>
    <col min="1064" max="1064" width="3.7109375" style="10" customWidth="1"/>
    <col min="1065" max="1068" width="3.140625" style="10" customWidth="1"/>
    <col min="1069" max="1069" width="4" style="10" customWidth="1"/>
    <col min="1070" max="1070" width="3.28515625" style="10" customWidth="1"/>
    <col min="1071" max="1073" width="3.140625" style="10" customWidth="1"/>
    <col min="1074" max="1074" width="9.28515625" style="10" customWidth="1"/>
    <col min="1075" max="1076" width="3.140625" style="10" customWidth="1"/>
    <col min="1077" max="1119" width="1.7109375" style="10" customWidth="1"/>
    <col min="1120" max="1266" width="3" style="10"/>
    <col min="1267" max="1267" width="0.85546875" style="10" customWidth="1"/>
    <col min="1268" max="1268" width="1" style="10" customWidth="1"/>
    <col min="1269" max="1269" width="1.28515625" style="10" customWidth="1"/>
    <col min="1270" max="1270" width="50.5703125" style="10" customWidth="1"/>
    <col min="1271" max="1271" width="4.7109375" style="10" customWidth="1"/>
    <col min="1272" max="1272" width="5.7109375" style="10" customWidth="1"/>
    <col min="1273" max="1273" width="20.5703125" style="10" customWidth="1"/>
    <col min="1274" max="1278" width="0" style="10" hidden="1" customWidth="1"/>
    <col min="1279" max="1279" width="16.28515625" style="10" customWidth="1"/>
    <col min="1280" max="1285" width="0" style="10" hidden="1" customWidth="1"/>
    <col min="1286" max="1286" width="16.7109375" style="10" customWidth="1"/>
    <col min="1287" max="1287" width="16.28515625" style="10" customWidth="1"/>
    <col min="1288" max="1292" width="0" style="10" hidden="1" customWidth="1"/>
    <col min="1293" max="1293" width="17.140625" style="10" customWidth="1"/>
    <col min="1294" max="1299" width="0" style="10" hidden="1" customWidth="1"/>
    <col min="1300" max="1300" width="16.28515625" style="10" customWidth="1"/>
    <col min="1301" max="1301" width="1.7109375" style="10" customWidth="1"/>
    <col min="1302" max="1302" width="12.7109375" style="10" customWidth="1"/>
    <col min="1303" max="1303" width="11.28515625" style="10" bestFit="1" customWidth="1"/>
    <col min="1304" max="1315" width="8.7109375" style="10" customWidth="1"/>
    <col min="1316" max="1316" width="10.28515625" style="10" customWidth="1"/>
    <col min="1317" max="1317" width="9.28515625" style="10" customWidth="1"/>
    <col min="1318" max="1318" width="7.7109375" style="10" customWidth="1"/>
    <col min="1319" max="1319" width="7.28515625" style="10" customWidth="1"/>
    <col min="1320" max="1320" width="3.7109375" style="10" customWidth="1"/>
    <col min="1321" max="1324" width="3.140625" style="10" customWidth="1"/>
    <col min="1325" max="1325" width="4" style="10" customWidth="1"/>
    <col min="1326" max="1326" width="3.28515625" style="10" customWidth="1"/>
    <col min="1327" max="1329" width="3.140625" style="10" customWidth="1"/>
    <col min="1330" max="1330" width="9.28515625" style="10" customWidth="1"/>
    <col min="1331" max="1332" width="3.140625" style="10" customWidth="1"/>
    <col min="1333" max="1375" width="1.7109375" style="10" customWidth="1"/>
    <col min="1376" max="1522" width="3" style="10"/>
    <col min="1523" max="1523" width="0.85546875" style="10" customWidth="1"/>
    <col min="1524" max="1524" width="1" style="10" customWidth="1"/>
    <col min="1525" max="1525" width="1.28515625" style="10" customWidth="1"/>
    <col min="1526" max="1526" width="50.5703125" style="10" customWidth="1"/>
    <col min="1527" max="1527" width="4.7109375" style="10" customWidth="1"/>
    <col min="1528" max="1528" width="5.7109375" style="10" customWidth="1"/>
    <col min="1529" max="1529" width="20.5703125" style="10" customWidth="1"/>
    <col min="1530" max="1534" width="0" style="10" hidden="1" customWidth="1"/>
    <col min="1535" max="1535" width="16.28515625" style="10" customWidth="1"/>
    <col min="1536" max="1541" width="0" style="10" hidden="1" customWidth="1"/>
    <col min="1542" max="1542" width="16.7109375" style="10" customWidth="1"/>
    <col min="1543" max="1543" width="16.28515625" style="10" customWidth="1"/>
    <col min="1544" max="1548" width="0" style="10" hidden="1" customWidth="1"/>
    <col min="1549" max="1549" width="17.140625" style="10" customWidth="1"/>
    <col min="1550" max="1555" width="0" style="10" hidden="1" customWidth="1"/>
    <col min="1556" max="1556" width="16.28515625" style="10" customWidth="1"/>
    <col min="1557" max="1557" width="1.7109375" style="10" customWidth="1"/>
    <col min="1558" max="1558" width="12.7109375" style="10" customWidth="1"/>
    <col min="1559" max="1559" width="11.28515625" style="10" bestFit="1" customWidth="1"/>
    <col min="1560" max="1571" width="8.7109375" style="10" customWidth="1"/>
    <col min="1572" max="1572" width="10.28515625" style="10" customWidth="1"/>
    <col min="1573" max="1573" width="9.28515625" style="10" customWidth="1"/>
    <col min="1574" max="1574" width="7.7109375" style="10" customWidth="1"/>
    <col min="1575" max="1575" width="7.28515625" style="10" customWidth="1"/>
    <col min="1576" max="1576" width="3.7109375" style="10" customWidth="1"/>
    <col min="1577" max="1580" width="3.140625" style="10" customWidth="1"/>
    <col min="1581" max="1581" width="4" style="10" customWidth="1"/>
    <col min="1582" max="1582" width="3.28515625" style="10" customWidth="1"/>
    <col min="1583" max="1585" width="3.140625" style="10" customWidth="1"/>
    <col min="1586" max="1586" width="9.28515625" style="10" customWidth="1"/>
    <col min="1587" max="1588" width="3.140625" style="10" customWidth="1"/>
    <col min="1589" max="1631" width="1.7109375" style="10" customWidth="1"/>
    <col min="1632" max="1778" width="3" style="10"/>
    <col min="1779" max="1779" width="0.85546875" style="10" customWidth="1"/>
    <col min="1780" max="1780" width="1" style="10" customWidth="1"/>
    <col min="1781" max="1781" width="1.28515625" style="10" customWidth="1"/>
    <col min="1782" max="1782" width="50.5703125" style="10" customWidth="1"/>
    <col min="1783" max="1783" width="4.7109375" style="10" customWidth="1"/>
    <col min="1784" max="1784" width="5.7109375" style="10" customWidth="1"/>
    <col min="1785" max="1785" width="20.5703125" style="10" customWidth="1"/>
    <col min="1786" max="1790" width="0" style="10" hidden="1" customWidth="1"/>
    <col min="1791" max="1791" width="16.28515625" style="10" customWidth="1"/>
    <col min="1792" max="1797" width="0" style="10" hidden="1" customWidth="1"/>
    <col min="1798" max="1798" width="16.7109375" style="10" customWidth="1"/>
    <col min="1799" max="1799" width="16.28515625" style="10" customWidth="1"/>
    <col min="1800" max="1804" width="0" style="10" hidden="1" customWidth="1"/>
    <col min="1805" max="1805" width="17.140625" style="10" customWidth="1"/>
    <col min="1806" max="1811" width="0" style="10" hidden="1" customWidth="1"/>
    <col min="1812" max="1812" width="16.28515625" style="10" customWidth="1"/>
    <col min="1813" max="1813" width="1.7109375" style="10" customWidth="1"/>
    <col min="1814" max="1814" width="12.7109375" style="10" customWidth="1"/>
    <col min="1815" max="1815" width="11.28515625" style="10" bestFit="1" customWidth="1"/>
    <col min="1816" max="1827" width="8.7109375" style="10" customWidth="1"/>
    <col min="1828" max="1828" width="10.28515625" style="10" customWidth="1"/>
    <col min="1829" max="1829" width="9.28515625" style="10" customWidth="1"/>
    <col min="1830" max="1830" width="7.7109375" style="10" customWidth="1"/>
    <col min="1831" max="1831" width="7.28515625" style="10" customWidth="1"/>
    <col min="1832" max="1832" width="3.7109375" style="10" customWidth="1"/>
    <col min="1833" max="1836" width="3.140625" style="10" customWidth="1"/>
    <col min="1837" max="1837" width="4" style="10" customWidth="1"/>
    <col min="1838" max="1838" width="3.28515625" style="10" customWidth="1"/>
    <col min="1839" max="1841" width="3.140625" style="10" customWidth="1"/>
    <col min="1842" max="1842" width="9.28515625" style="10" customWidth="1"/>
    <col min="1843" max="1844" width="3.140625" style="10" customWidth="1"/>
    <col min="1845" max="1887" width="1.7109375" style="10" customWidth="1"/>
    <col min="1888" max="2034" width="3" style="10"/>
    <col min="2035" max="2035" width="0.85546875" style="10" customWidth="1"/>
    <col min="2036" max="2036" width="1" style="10" customWidth="1"/>
    <col min="2037" max="2037" width="1.28515625" style="10" customWidth="1"/>
    <col min="2038" max="2038" width="50.5703125" style="10" customWidth="1"/>
    <col min="2039" max="2039" width="4.7109375" style="10" customWidth="1"/>
    <col min="2040" max="2040" width="5.7109375" style="10" customWidth="1"/>
    <col min="2041" max="2041" width="20.5703125" style="10" customWidth="1"/>
    <col min="2042" max="2046" width="0" style="10" hidden="1" customWidth="1"/>
    <col min="2047" max="2047" width="16.28515625" style="10" customWidth="1"/>
    <col min="2048" max="2053" width="0" style="10" hidden="1" customWidth="1"/>
    <col min="2054" max="2054" width="16.7109375" style="10" customWidth="1"/>
    <col min="2055" max="2055" width="16.28515625" style="10" customWidth="1"/>
    <col min="2056" max="2060" width="0" style="10" hidden="1" customWidth="1"/>
    <col min="2061" max="2061" width="17.140625" style="10" customWidth="1"/>
    <col min="2062" max="2067" width="0" style="10" hidden="1" customWidth="1"/>
    <col min="2068" max="2068" width="16.28515625" style="10" customWidth="1"/>
    <col min="2069" max="2069" width="1.7109375" style="10" customWidth="1"/>
    <col min="2070" max="2070" width="12.7109375" style="10" customWidth="1"/>
    <col min="2071" max="2071" width="11.28515625" style="10" bestFit="1" customWidth="1"/>
    <col min="2072" max="2083" width="8.7109375" style="10" customWidth="1"/>
    <col min="2084" max="2084" width="10.28515625" style="10" customWidth="1"/>
    <col min="2085" max="2085" width="9.28515625" style="10" customWidth="1"/>
    <col min="2086" max="2086" width="7.7109375" style="10" customWidth="1"/>
    <col min="2087" max="2087" width="7.28515625" style="10" customWidth="1"/>
    <col min="2088" max="2088" width="3.7109375" style="10" customWidth="1"/>
    <col min="2089" max="2092" width="3.140625" style="10" customWidth="1"/>
    <col min="2093" max="2093" width="4" style="10" customWidth="1"/>
    <col min="2094" max="2094" width="3.28515625" style="10" customWidth="1"/>
    <col min="2095" max="2097" width="3.140625" style="10" customWidth="1"/>
    <col min="2098" max="2098" width="9.28515625" style="10" customWidth="1"/>
    <col min="2099" max="2100" width="3.140625" style="10" customWidth="1"/>
    <col min="2101" max="2143" width="1.7109375" style="10" customWidth="1"/>
    <col min="2144" max="2290" width="3" style="10"/>
    <col min="2291" max="2291" width="0.85546875" style="10" customWidth="1"/>
    <col min="2292" max="2292" width="1" style="10" customWidth="1"/>
    <col min="2293" max="2293" width="1.28515625" style="10" customWidth="1"/>
    <col min="2294" max="2294" width="50.5703125" style="10" customWidth="1"/>
    <col min="2295" max="2295" width="4.7109375" style="10" customWidth="1"/>
    <col min="2296" max="2296" width="5.7109375" style="10" customWidth="1"/>
    <col min="2297" max="2297" width="20.5703125" style="10" customWidth="1"/>
    <col min="2298" max="2302" width="0" style="10" hidden="1" customWidth="1"/>
    <col min="2303" max="2303" width="16.28515625" style="10" customWidth="1"/>
    <col min="2304" max="2309" width="0" style="10" hidden="1" customWidth="1"/>
    <col min="2310" max="2310" width="16.7109375" style="10" customWidth="1"/>
    <col min="2311" max="2311" width="16.28515625" style="10" customWidth="1"/>
    <col min="2312" max="2316" width="0" style="10" hidden="1" customWidth="1"/>
    <col min="2317" max="2317" width="17.140625" style="10" customWidth="1"/>
    <col min="2318" max="2323" width="0" style="10" hidden="1" customWidth="1"/>
    <col min="2324" max="2324" width="16.28515625" style="10" customWidth="1"/>
    <col min="2325" max="2325" width="1.7109375" style="10" customWidth="1"/>
    <col min="2326" max="2326" width="12.7109375" style="10" customWidth="1"/>
    <col min="2327" max="2327" width="11.28515625" style="10" bestFit="1" customWidth="1"/>
    <col min="2328" max="2339" width="8.7109375" style="10" customWidth="1"/>
    <col min="2340" max="2340" width="10.28515625" style="10" customWidth="1"/>
    <col min="2341" max="2341" width="9.28515625" style="10" customWidth="1"/>
    <col min="2342" max="2342" width="7.7109375" style="10" customWidth="1"/>
    <col min="2343" max="2343" width="7.28515625" style="10" customWidth="1"/>
    <col min="2344" max="2344" width="3.7109375" style="10" customWidth="1"/>
    <col min="2345" max="2348" width="3.140625" style="10" customWidth="1"/>
    <col min="2349" max="2349" width="4" style="10" customWidth="1"/>
    <col min="2350" max="2350" width="3.28515625" style="10" customWidth="1"/>
    <col min="2351" max="2353" width="3.140625" style="10" customWidth="1"/>
    <col min="2354" max="2354" width="9.28515625" style="10" customWidth="1"/>
    <col min="2355" max="2356" width="3.140625" style="10" customWidth="1"/>
    <col min="2357" max="2399" width="1.7109375" style="10" customWidth="1"/>
    <col min="2400" max="2546" width="3" style="10"/>
    <col min="2547" max="2547" width="0.85546875" style="10" customWidth="1"/>
    <col min="2548" max="2548" width="1" style="10" customWidth="1"/>
    <col min="2549" max="2549" width="1.28515625" style="10" customWidth="1"/>
    <col min="2550" max="2550" width="50.5703125" style="10" customWidth="1"/>
    <col min="2551" max="2551" width="4.7109375" style="10" customWidth="1"/>
    <col min="2552" max="2552" width="5.7109375" style="10" customWidth="1"/>
    <col min="2553" max="2553" width="20.5703125" style="10" customWidth="1"/>
    <col min="2554" max="2558" width="0" style="10" hidden="1" customWidth="1"/>
    <col min="2559" max="2559" width="16.28515625" style="10" customWidth="1"/>
    <col min="2560" max="2565" width="0" style="10" hidden="1" customWidth="1"/>
    <col min="2566" max="2566" width="16.7109375" style="10" customWidth="1"/>
    <col min="2567" max="2567" width="16.28515625" style="10" customWidth="1"/>
    <col min="2568" max="2572" width="0" style="10" hidden="1" customWidth="1"/>
    <col min="2573" max="2573" width="17.140625" style="10" customWidth="1"/>
    <col min="2574" max="2579" width="0" style="10" hidden="1" customWidth="1"/>
    <col min="2580" max="2580" width="16.28515625" style="10" customWidth="1"/>
    <col min="2581" max="2581" width="1.7109375" style="10" customWidth="1"/>
    <col min="2582" max="2582" width="12.7109375" style="10" customWidth="1"/>
    <col min="2583" max="2583" width="11.28515625" style="10" bestFit="1" customWidth="1"/>
    <col min="2584" max="2595" width="8.7109375" style="10" customWidth="1"/>
    <col min="2596" max="2596" width="10.28515625" style="10" customWidth="1"/>
    <col min="2597" max="2597" width="9.28515625" style="10" customWidth="1"/>
    <col min="2598" max="2598" width="7.7109375" style="10" customWidth="1"/>
    <col min="2599" max="2599" width="7.28515625" style="10" customWidth="1"/>
    <col min="2600" max="2600" width="3.7109375" style="10" customWidth="1"/>
    <col min="2601" max="2604" width="3.140625" style="10" customWidth="1"/>
    <col min="2605" max="2605" width="4" style="10" customWidth="1"/>
    <col min="2606" max="2606" width="3.28515625" style="10" customWidth="1"/>
    <col min="2607" max="2609" width="3.140625" style="10" customWidth="1"/>
    <col min="2610" max="2610" width="9.28515625" style="10" customWidth="1"/>
    <col min="2611" max="2612" width="3.140625" style="10" customWidth="1"/>
    <col min="2613" max="2655" width="1.7109375" style="10" customWidth="1"/>
    <col min="2656" max="2802" width="3" style="10"/>
    <col min="2803" max="2803" width="0.85546875" style="10" customWidth="1"/>
    <col min="2804" max="2804" width="1" style="10" customWidth="1"/>
    <col min="2805" max="2805" width="1.28515625" style="10" customWidth="1"/>
    <col min="2806" max="2806" width="50.5703125" style="10" customWidth="1"/>
    <col min="2807" max="2807" width="4.7109375" style="10" customWidth="1"/>
    <col min="2808" max="2808" width="5.7109375" style="10" customWidth="1"/>
    <col min="2809" max="2809" width="20.5703125" style="10" customWidth="1"/>
    <col min="2810" max="2814" width="0" style="10" hidden="1" customWidth="1"/>
    <col min="2815" max="2815" width="16.28515625" style="10" customWidth="1"/>
    <col min="2816" max="2821" width="0" style="10" hidden="1" customWidth="1"/>
    <col min="2822" max="2822" width="16.7109375" style="10" customWidth="1"/>
    <col min="2823" max="2823" width="16.28515625" style="10" customWidth="1"/>
    <col min="2824" max="2828" width="0" style="10" hidden="1" customWidth="1"/>
    <col min="2829" max="2829" width="17.140625" style="10" customWidth="1"/>
    <col min="2830" max="2835" width="0" style="10" hidden="1" customWidth="1"/>
    <col min="2836" max="2836" width="16.28515625" style="10" customWidth="1"/>
    <col min="2837" max="2837" width="1.7109375" style="10" customWidth="1"/>
    <col min="2838" max="2838" width="12.7109375" style="10" customWidth="1"/>
    <col min="2839" max="2839" width="11.28515625" style="10" bestFit="1" customWidth="1"/>
    <col min="2840" max="2851" width="8.7109375" style="10" customWidth="1"/>
    <col min="2852" max="2852" width="10.28515625" style="10" customWidth="1"/>
    <col min="2853" max="2853" width="9.28515625" style="10" customWidth="1"/>
    <col min="2854" max="2854" width="7.7109375" style="10" customWidth="1"/>
    <col min="2855" max="2855" width="7.28515625" style="10" customWidth="1"/>
    <col min="2856" max="2856" width="3.7109375" style="10" customWidth="1"/>
    <col min="2857" max="2860" width="3.140625" style="10" customWidth="1"/>
    <col min="2861" max="2861" width="4" style="10" customWidth="1"/>
    <col min="2862" max="2862" width="3.28515625" style="10" customWidth="1"/>
    <col min="2863" max="2865" width="3.140625" style="10" customWidth="1"/>
    <col min="2866" max="2866" width="9.28515625" style="10" customWidth="1"/>
    <col min="2867" max="2868" width="3.140625" style="10" customWidth="1"/>
    <col min="2869" max="2911" width="1.7109375" style="10" customWidth="1"/>
    <col min="2912" max="3058" width="3" style="10"/>
    <col min="3059" max="3059" width="0.85546875" style="10" customWidth="1"/>
    <col min="3060" max="3060" width="1" style="10" customWidth="1"/>
    <col min="3061" max="3061" width="1.28515625" style="10" customWidth="1"/>
    <col min="3062" max="3062" width="50.5703125" style="10" customWidth="1"/>
    <col min="3063" max="3063" width="4.7109375" style="10" customWidth="1"/>
    <col min="3064" max="3064" width="5.7109375" style="10" customWidth="1"/>
    <col min="3065" max="3065" width="20.5703125" style="10" customWidth="1"/>
    <col min="3066" max="3070" width="0" style="10" hidden="1" customWidth="1"/>
    <col min="3071" max="3071" width="16.28515625" style="10" customWidth="1"/>
    <col min="3072" max="3077" width="0" style="10" hidden="1" customWidth="1"/>
    <col min="3078" max="3078" width="16.7109375" style="10" customWidth="1"/>
    <col min="3079" max="3079" width="16.28515625" style="10" customWidth="1"/>
    <col min="3080" max="3084" width="0" style="10" hidden="1" customWidth="1"/>
    <col min="3085" max="3085" width="17.140625" style="10" customWidth="1"/>
    <col min="3086" max="3091" width="0" style="10" hidden="1" customWidth="1"/>
    <col min="3092" max="3092" width="16.28515625" style="10" customWidth="1"/>
    <col min="3093" max="3093" width="1.7109375" style="10" customWidth="1"/>
    <col min="3094" max="3094" width="12.7109375" style="10" customWidth="1"/>
    <col min="3095" max="3095" width="11.28515625" style="10" bestFit="1" customWidth="1"/>
    <col min="3096" max="3107" width="8.7109375" style="10" customWidth="1"/>
    <col min="3108" max="3108" width="10.28515625" style="10" customWidth="1"/>
    <col min="3109" max="3109" width="9.28515625" style="10" customWidth="1"/>
    <col min="3110" max="3110" width="7.7109375" style="10" customWidth="1"/>
    <col min="3111" max="3111" width="7.28515625" style="10" customWidth="1"/>
    <col min="3112" max="3112" width="3.7109375" style="10" customWidth="1"/>
    <col min="3113" max="3116" width="3.140625" style="10" customWidth="1"/>
    <col min="3117" max="3117" width="4" style="10" customWidth="1"/>
    <col min="3118" max="3118" width="3.28515625" style="10" customWidth="1"/>
    <col min="3119" max="3121" width="3.140625" style="10" customWidth="1"/>
    <col min="3122" max="3122" width="9.28515625" style="10" customWidth="1"/>
    <col min="3123" max="3124" width="3.140625" style="10" customWidth="1"/>
    <col min="3125" max="3167" width="1.7109375" style="10" customWidth="1"/>
    <col min="3168" max="3314" width="3" style="10"/>
    <col min="3315" max="3315" width="0.85546875" style="10" customWidth="1"/>
    <col min="3316" max="3316" width="1" style="10" customWidth="1"/>
    <col min="3317" max="3317" width="1.28515625" style="10" customWidth="1"/>
    <col min="3318" max="3318" width="50.5703125" style="10" customWidth="1"/>
    <col min="3319" max="3319" width="4.7109375" style="10" customWidth="1"/>
    <col min="3320" max="3320" width="5.7109375" style="10" customWidth="1"/>
    <col min="3321" max="3321" width="20.5703125" style="10" customWidth="1"/>
    <col min="3322" max="3326" width="0" style="10" hidden="1" customWidth="1"/>
    <col min="3327" max="3327" width="16.28515625" style="10" customWidth="1"/>
    <col min="3328" max="3333" width="0" style="10" hidden="1" customWidth="1"/>
    <col min="3334" max="3334" width="16.7109375" style="10" customWidth="1"/>
    <col min="3335" max="3335" width="16.28515625" style="10" customWidth="1"/>
    <col min="3336" max="3340" width="0" style="10" hidden="1" customWidth="1"/>
    <col min="3341" max="3341" width="17.140625" style="10" customWidth="1"/>
    <col min="3342" max="3347" width="0" style="10" hidden="1" customWidth="1"/>
    <col min="3348" max="3348" width="16.28515625" style="10" customWidth="1"/>
    <col min="3349" max="3349" width="1.7109375" style="10" customWidth="1"/>
    <col min="3350" max="3350" width="12.7109375" style="10" customWidth="1"/>
    <col min="3351" max="3351" width="11.28515625" style="10" bestFit="1" customWidth="1"/>
    <col min="3352" max="3363" width="8.7109375" style="10" customWidth="1"/>
    <col min="3364" max="3364" width="10.28515625" style="10" customWidth="1"/>
    <col min="3365" max="3365" width="9.28515625" style="10" customWidth="1"/>
    <col min="3366" max="3366" width="7.7109375" style="10" customWidth="1"/>
    <col min="3367" max="3367" width="7.28515625" style="10" customWidth="1"/>
    <col min="3368" max="3368" width="3.7109375" style="10" customWidth="1"/>
    <col min="3369" max="3372" width="3.140625" style="10" customWidth="1"/>
    <col min="3373" max="3373" width="4" style="10" customWidth="1"/>
    <col min="3374" max="3374" width="3.28515625" style="10" customWidth="1"/>
    <col min="3375" max="3377" width="3.140625" style="10" customWidth="1"/>
    <col min="3378" max="3378" width="9.28515625" style="10" customWidth="1"/>
    <col min="3379" max="3380" width="3.140625" style="10" customWidth="1"/>
    <col min="3381" max="3423" width="1.7109375" style="10" customWidth="1"/>
    <col min="3424" max="3570" width="3" style="10"/>
    <col min="3571" max="3571" width="0.85546875" style="10" customWidth="1"/>
    <col min="3572" max="3572" width="1" style="10" customWidth="1"/>
    <col min="3573" max="3573" width="1.28515625" style="10" customWidth="1"/>
    <col min="3574" max="3574" width="50.5703125" style="10" customWidth="1"/>
    <col min="3575" max="3575" width="4.7109375" style="10" customWidth="1"/>
    <col min="3576" max="3576" width="5.7109375" style="10" customWidth="1"/>
    <col min="3577" max="3577" width="20.5703125" style="10" customWidth="1"/>
    <col min="3578" max="3582" width="0" style="10" hidden="1" customWidth="1"/>
    <col min="3583" max="3583" width="16.28515625" style="10" customWidth="1"/>
    <col min="3584" max="3589" width="0" style="10" hidden="1" customWidth="1"/>
    <col min="3590" max="3590" width="16.7109375" style="10" customWidth="1"/>
    <col min="3591" max="3591" width="16.28515625" style="10" customWidth="1"/>
    <col min="3592" max="3596" width="0" style="10" hidden="1" customWidth="1"/>
    <col min="3597" max="3597" width="17.140625" style="10" customWidth="1"/>
    <col min="3598" max="3603" width="0" style="10" hidden="1" customWidth="1"/>
    <col min="3604" max="3604" width="16.28515625" style="10" customWidth="1"/>
    <col min="3605" max="3605" width="1.7109375" style="10" customWidth="1"/>
    <col min="3606" max="3606" width="12.7109375" style="10" customWidth="1"/>
    <col min="3607" max="3607" width="11.28515625" style="10" bestFit="1" customWidth="1"/>
    <col min="3608" max="3619" width="8.7109375" style="10" customWidth="1"/>
    <col min="3620" max="3620" width="10.28515625" style="10" customWidth="1"/>
    <col min="3621" max="3621" width="9.28515625" style="10" customWidth="1"/>
    <col min="3622" max="3622" width="7.7109375" style="10" customWidth="1"/>
    <col min="3623" max="3623" width="7.28515625" style="10" customWidth="1"/>
    <col min="3624" max="3624" width="3.7109375" style="10" customWidth="1"/>
    <col min="3625" max="3628" width="3.140625" style="10" customWidth="1"/>
    <col min="3629" max="3629" width="4" style="10" customWidth="1"/>
    <col min="3630" max="3630" width="3.28515625" style="10" customWidth="1"/>
    <col min="3631" max="3633" width="3.140625" style="10" customWidth="1"/>
    <col min="3634" max="3634" width="9.28515625" style="10" customWidth="1"/>
    <col min="3635" max="3636" width="3.140625" style="10" customWidth="1"/>
    <col min="3637" max="3679" width="1.7109375" style="10" customWidth="1"/>
    <col min="3680" max="3826" width="3" style="10"/>
    <col min="3827" max="3827" width="0.85546875" style="10" customWidth="1"/>
    <col min="3828" max="3828" width="1" style="10" customWidth="1"/>
    <col min="3829" max="3829" width="1.28515625" style="10" customWidth="1"/>
    <col min="3830" max="3830" width="50.5703125" style="10" customWidth="1"/>
    <col min="3831" max="3831" width="4.7109375" style="10" customWidth="1"/>
    <col min="3832" max="3832" width="5.7109375" style="10" customWidth="1"/>
    <col min="3833" max="3833" width="20.5703125" style="10" customWidth="1"/>
    <col min="3834" max="3838" width="0" style="10" hidden="1" customWidth="1"/>
    <col min="3839" max="3839" width="16.28515625" style="10" customWidth="1"/>
    <col min="3840" max="3845" width="0" style="10" hidden="1" customWidth="1"/>
    <col min="3846" max="3846" width="16.7109375" style="10" customWidth="1"/>
    <col min="3847" max="3847" width="16.28515625" style="10" customWidth="1"/>
    <col min="3848" max="3852" width="0" style="10" hidden="1" customWidth="1"/>
    <col min="3853" max="3853" width="17.140625" style="10" customWidth="1"/>
    <col min="3854" max="3859" width="0" style="10" hidden="1" customWidth="1"/>
    <col min="3860" max="3860" width="16.28515625" style="10" customWidth="1"/>
    <col min="3861" max="3861" width="1.7109375" style="10" customWidth="1"/>
    <col min="3862" max="3862" width="12.7109375" style="10" customWidth="1"/>
    <col min="3863" max="3863" width="11.28515625" style="10" bestFit="1" customWidth="1"/>
    <col min="3864" max="3875" width="8.7109375" style="10" customWidth="1"/>
    <col min="3876" max="3876" width="10.28515625" style="10" customWidth="1"/>
    <col min="3877" max="3877" width="9.28515625" style="10" customWidth="1"/>
    <col min="3878" max="3878" width="7.7109375" style="10" customWidth="1"/>
    <col min="3879" max="3879" width="7.28515625" style="10" customWidth="1"/>
    <col min="3880" max="3880" width="3.7109375" style="10" customWidth="1"/>
    <col min="3881" max="3884" width="3.140625" style="10" customWidth="1"/>
    <col min="3885" max="3885" width="4" style="10" customWidth="1"/>
    <col min="3886" max="3886" width="3.28515625" style="10" customWidth="1"/>
    <col min="3887" max="3889" width="3.140625" style="10" customWidth="1"/>
    <col min="3890" max="3890" width="9.28515625" style="10" customWidth="1"/>
    <col min="3891" max="3892" width="3.140625" style="10" customWidth="1"/>
    <col min="3893" max="3935" width="1.7109375" style="10" customWidth="1"/>
    <col min="3936" max="4082" width="3" style="10"/>
    <col min="4083" max="4083" width="0.85546875" style="10" customWidth="1"/>
    <col min="4084" max="4084" width="1" style="10" customWidth="1"/>
    <col min="4085" max="4085" width="1.28515625" style="10" customWidth="1"/>
    <col min="4086" max="4086" width="50.5703125" style="10" customWidth="1"/>
    <col min="4087" max="4087" width="4.7109375" style="10" customWidth="1"/>
    <col min="4088" max="4088" width="5.7109375" style="10" customWidth="1"/>
    <col min="4089" max="4089" width="20.5703125" style="10" customWidth="1"/>
    <col min="4090" max="4094" width="0" style="10" hidden="1" customWidth="1"/>
    <col min="4095" max="4095" width="16.28515625" style="10" customWidth="1"/>
    <col min="4096" max="4101" width="0" style="10" hidden="1" customWidth="1"/>
    <col min="4102" max="4102" width="16.7109375" style="10" customWidth="1"/>
    <col min="4103" max="4103" width="16.28515625" style="10" customWidth="1"/>
    <col min="4104" max="4108" width="0" style="10" hidden="1" customWidth="1"/>
    <col min="4109" max="4109" width="17.140625" style="10" customWidth="1"/>
    <col min="4110" max="4115" width="0" style="10" hidden="1" customWidth="1"/>
    <col min="4116" max="4116" width="16.28515625" style="10" customWidth="1"/>
    <col min="4117" max="4117" width="1.7109375" style="10" customWidth="1"/>
    <col min="4118" max="4118" width="12.7109375" style="10" customWidth="1"/>
    <col min="4119" max="4119" width="11.28515625" style="10" bestFit="1" customWidth="1"/>
    <col min="4120" max="4131" width="8.7109375" style="10" customWidth="1"/>
    <col min="4132" max="4132" width="10.28515625" style="10" customWidth="1"/>
    <col min="4133" max="4133" width="9.28515625" style="10" customWidth="1"/>
    <col min="4134" max="4134" width="7.7109375" style="10" customWidth="1"/>
    <col min="4135" max="4135" width="7.28515625" style="10" customWidth="1"/>
    <col min="4136" max="4136" width="3.7109375" style="10" customWidth="1"/>
    <col min="4137" max="4140" width="3.140625" style="10" customWidth="1"/>
    <col min="4141" max="4141" width="4" style="10" customWidth="1"/>
    <col min="4142" max="4142" width="3.28515625" style="10" customWidth="1"/>
    <col min="4143" max="4145" width="3.140625" style="10" customWidth="1"/>
    <col min="4146" max="4146" width="9.28515625" style="10" customWidth="1"/>
    <col min="4147" max="4148" width="3.140625" style="10" customWidth="1"/>
    <col min="4149" max="4191" width="1.7109375" style="10" customWidth="1"/>
    <col min="4192" max="4338" width="3" style="10"/>
    <col min="4339" max="4339" width="0.85546875" style="10" customWidth="1"/>
    <col min="4340" max="4340" width="1" style="10" customWidth="1"/>
    <col min="4341" max="4341" width="1.28515625" style="10" customWidth="1"/>
    <col min="4342" max="4342" width="50.5703125" style="10" customWidth="1"/>
    <col min="4343" max="4343" width="4.7109375" style="10" customWidth="1"/>
    <col min="4344" max="4344" width="5.7109375" style="10" customWidth="1"/>
    <col min="4345" max="4345" width="20.5703125" style="10" customWidth="1"/>
    <col min="4346" max="4350" width="0" style="10" hidden="1" customWidth="1"/>
    <col min="4351" max="4351" width="16.28515625" style="10" customWidth="1"/>
    <col min="4352" max="4357" width="0" style="10" hidden="1" customWidth="1"/>
    <col min="4358" max="4358" width="16.7109375" style="10" customWidth="1"/>
    <col min="4359" max="4359" width="16.28515625" style="10" customWidth="1"/>
    <col min="4360" max="4364" width="0" style="10" hidden="1" customWidth="1"/>
    <col min="4365" max="4365" width="17.140625" style="10" customWidth="1"/>
    <col min="4366" max="4371" width="0" style="10" hidden="1" customWidth="1"/>
    <col min="4372" max="4372" width="16.28515625" style="10" customWidth="1"/>
    <col min="4373" max="4373" width="1.7109375" style="10" customWidth="1"/>
    <col min="4374" max="4374" width="12.7109375" style="10" customWidth="1"/>
    <col min="4375" max="4375" width="11.28515625" style="10" bestFit="1" customWidth="1"/>
    <col min="4376" max="4387" width="8.7109375" style="10" customWidth="1"/>
    <col min="4388" max="4388" width="10.28515625" style="10" customWidth="1"/>
    <col min="4389" max="4389" width="9.28515625" style="10" customWidth="1"/>
    <col min="4390" max="4390" width="7.7109375" style="10" customWidth="1"/>
    <col min="4391" max="4391" width="7.28515625" style="10" customWidth="1"/>
    <col min="4392" max="4392" width="3.7109375" style="10" customWidth="1"/>
    <col min="4393" max="4396" width="3.140625" style="10" customWidth="1"/>
    <col min="4397" max="4397" width="4" style="10" customWidth="1"/>
    <col min="4398" max="4398" width="3.28515625" style="10" customWidth="1"/>
    <col min="4399" max="4401" width="3.140625" style="10" customWidth="1"/>
    <col min="4402" max="4402" width="9.28515625" style="10" customWidth="1"/>
    <col min="4403" max="4404" width="3.140625" style="10" customWidth="1"/>
    <col min="4405" max="4447" width="1.7109375" style="10" customWidth="1"/>
    <col min="4448" max="4594" width="3" style="10"/>
    <col min="4595" max="4595" width="0.85546875" style="10" customWidth="1"/>
    <col min="4596" max="4596" width="1" style="10" customWidth="1"/>
    <col min="4597" max="4597" width="1.28515625" style="10" customWidth="1"/>
    <col min="4598" max="4598" width="50.5703125" style="10" customWidth="1"/>
    <col min="4599" max="4599" width="4.7109375" style="10" customWidth="1"/>
    <col min="4600" max="4600" width="5.7109375" style="10" customWidth="1"/>
    <col min="4601" max="4601" width="20.5703125" style="10" customWidth="1"/>
    <col min="4602" max="4606" width="0" style="10" hidden="1" customWidth="1"/>
    <col min="4607" max="4607" width="16.28515625" style="10" customWidth="1"/>
    <col min="4608" max="4613" width="0" style="10" hidden="1" customWidth="1"/>
    <col min="4614" max="4614" width="16.7109375" style="10" customWidth="1"/>
    <col min="4615" max="4615" width="16.28515625" style="10" customWidth="1"/>
    <col min="4616" max="4620" width="0" style="10" hidden="1" customWidth="1"/>
    <col min="4621" max="4621" width="17.140625" style="10" customWidth="1"/>
    <col min="4622" max="4627" width="0" style="10" hidden="1" customWidth="1"/>
    <col min="4628" max="4628" width="16.28515625" style="10" customWidth="1"/>
    <col min="4629" max="4629" width="1.7109375" style="10" customWidth="1"/>
    <col min="4630" max="4630" width="12.7109375" style="10" customWidth="1"/>
    <col min="4631" max="4631" width="11.28515625" style="10" bestFit="1" customWidth="1"/>
    <col min="4632" max="4643" width="8.7109375" style="10" customWidth="1"/>
    <col min="4644" max="4644" width="10.28515625" style="10" customWidth="1"/>
    <col min="4645" max="4645" width="9.28515625" style="10" customWidth="1"/>
    <col min="4646" max="4646" width="7.7109375" style="10" customWidth="1"/>
    <col min="4647" max="4647" width="7.28515625" style="10" customWidth="1"/>
    <col min="4648" max="4648" width="3.7109375" style="10" customWidth="1"/>
    <col min="4649" max="4652" width="3.140625" style="10" customWidth="1"/>
    <col min="4653" max="4653" width="4" style="10" customWidth="1"/>
    <col min="4654" max="4654" width="3.28515625" style="10" customWidth="1"/>
    <col min="4655" max="4657" width="3.140625" style="10" customWidth="1"/>
    <col min="4658" max="4658" width="9.28515625" style="10" customWidth="1"/>
    <col min="4659" max="4660" width="3.140625" style="10" customWidth="1"/>
    <col min="4661" max="4703" width="1.7109375" style="10" customWidth="1"/>
    <col min="4704" max="4850" width="3" style="10"/>
    <col min="4851" max="4851" width="0.85546875" style="10" customWidth="1"/>
    <col min="4852" max="4852" width="1" style="10" customWidth="1"/>
    <col min="4853" max="4853" width="1.28515625" style="10" customWidth="1"/>
    <col min="4854" max="4854" width="50.5703125" style="10" customWidth="1"/>
    <col min="4855" max="4855" width="4.7109375" style="10" customWidth="1"/>
    <col min="4856" max="4856" width="5.7109375" style="10" customWidth="1"/>
    <col min="4857" max="4857" width="20.5703125" style="10" customWidth="1"/>
    <col min="4858" max="4862" width="0" style="10" hidden="1" customWidth="1"/>
    <col min="4863" max="4863" width="16.28515625" style="10" customWidth="1"/>
    <col min="4864" max="4869" width="0" style="10" hidden="1" customWidth="1"/>
    <col min="4870" max="4870" width="16.7109375" style="10" customWidth="1"/>
    <col min="4871" max="4871" width="16.28515625" style="10" customWidth="1"/>
    <col min="4872" max="4876" width="0" style="10" hidden="1" customWidth="1"/>
    <col min="4877" max="4877" width="17.140625" style="10" customWidth="1"/>
    <col min="4878" max="4883" width="0" style="10" hidden="1" customWidth="1"/>
    <col min="4884" max="4884" width="16.28515625" style="10" customWidth="1"/>
    <col min="4885" max="4885" width="1.7109375" style="10" customWidth="1"/>
    <col min="4886" max="4886" width="12.7109375" style="10" customWidth="1"/>
    <col min="4887" max="4887" width="11.28515625" style="10" bestFit="1" customWidth="1"/>
    <col min="4888" max="4899" width="8.7109375" style="10" customWidth="1"/>
    <col min="4900" max="4900" width="10.28515625" style="10" customWidth="1"/>
    <col min="4901" max="4901" width="9.28515625" style="10" customWidth="1"/>
    <col min="4902" max="4902" width="7.7109375" style="10" customWidth="1"/>
    <col min="4903" max="4903" width="7.28515625" style="10" customWidth="1"/>
    <col min="4904" max="4904" width="3.7109375" style="10" customWidth="1"/>
    <col min="4905" max="4908" width="3.140625" style="10" customWidth="1"/>
    <col min="4909" max="4909" width="4" style="10" customWidth="1"/>
    <col min="4910" max="4910" width="3.28515625" style="10" customWidth="1"/>
    <col min="4911" max="4913" width="3.140625" style="10" customWidth="1"/>
    <col min="4914" max="4914" width="9.28515625" style="10" customWidth="1"/>
    <col min="4915" max="4916" width="3.140625" style="10" customWidth="1"/>
    <col min="4917" max="4959" width="1.7109375" style="10" customWidth="1"/>
    <col min="4960" max="5106" width="3" style="10"/>
    <col min="5107" max="5107" width="0.85546875" style="10" customWidth="1"/>
    <col min="5108" max="5108" width="1" style="10" customWidth="1"/>
    <col min="5109" max="5109" width="1.28515625" style="10" customWidth="1"/>
    <col min="5110" max="5110" width="50.5703125" style="10" customWidth="1"/>
    <col min="5111" max="5111" width="4.7109375" style="10" customWidth="1"/>
    <col min="5112" max="5112" width="5.7109375" style="10" customWidth="1"/>
    <col min="5113" max="5113" width="20.5703125" style="10" customWidth="1"/>
    <col min="5114" max="5118" width="0" style="10" hidden="1" customWidth="1"/>
    <col min="5119" max="5119" width="16.28515625" style="10" customWidth="1"/>
    <col min="5120" max="5125" width="0" style="10" hidden="1" customWidth="1"/>
    <col min="5126" max="5126" width="16.7109375" style="10" customWidth="1"/>
    <col min="5127" max="5127" width="16.28515625" style="10" customWidth="1"/>
    <col min="5128" max="5132" width="0" style="10" hidden="1" customWidth="1"/>
    <col min="5133" max="5133" width="17.140625" style="10" customWidth="1"/>
    <col min="5134" max="5139" width="0" style="10" hidden="1" customWidth="1"/>
    <col min="5140" max="5140" width="16.28515625" style="10" customWidth="1"/>
    <col min="5141" max="5141" width="1.7109375" style="10" customWidth="1"/>
    <col min="5142" max="5142" width="12.7109375" style="10" customWidth="1"/>
    <col min="5143" max="5143" width="11.28515625" style="10" bestFit="1" customWidth="1"/>
    <col min="5144" max="5155" width="8.7109375" style="10" customWidth="1"/>
    <col min="5156" max="5156" width="10.28515625" style="10" customWidth="1"/>
    <col min="5157" max="5157" width="9.28515625" style="10" customWidth="1"/>
    <col min="5158" max="5158" width="7.7109375" style="10" customWidth="1"/>
    <col min="5159" max="5159" width="7.28515625" style="10" customWidth="1"/>
    <col min="5160" max="5160" width="3.7109375" style="10" customWidth="1"/>
    <col min="5161" max="5164" width="3.140625" style="10" customWidth="1"/>
    <col min="5165" max="5165" width="4" style="10" customWidth="1"/>
    <col min="5166" max="5166" width="3.28515625" style="10" customWidth="1"/>
    <col min="5167" max="5169" width="3.140625" style="10" customWidth="1"/>
    <col min="5170" max="5170" width="9.28515625" style="10" customWidth="1"/>
    <col min="5171" max="5172" width="3.140625" style="10" customWidth="1"/>
    <col min="5173" max="5215" width="1.7109375" style="10" customWidth="1"/>
    <col min="5216" max="5362" width="3" style="10"/>
    <col min="5363" max="5363" width="0.85546875" style="10" customWidth="1"/>
    <col min="5364" max="5364" width="1" style="10" customWidth="1"/>
    <col min="5365" max="5365" width="1.28515625" style="10" customWidth="1"/>
    <col min="5366" max="5366" width="50.5703125" style="10" customWidth="1"/>
    <col min="5367" max="5367" width="4.7109375" style="10" customWidth="1"/>
    <col min="5368" max="5368" width="5.7109375" style="10" customWidth="1"/>
    <col min="5369" max="5369" width="20.5703125" style="10" customWidth="1"/>
    <col min="5370" max="5374" width="0" style="10" hidden="1" customWidth="1"/>
    <col min="5375" max="5375" width="16.28515625" style="10" customWidth="1"/>
    <col min="5376" max="5381" width="0" style="10" hidden="1" customWidth="1"/>
    <col min="5382" max="5382" width="16.7109375" style="10" customWidth="1"/>
    <col min="5383" max="5383" width="16.28515625" style="10" customWidth="1"/>
    <col min="5384" max="5388" width="0" style="10" hidden="1" customWidth="1"/>
    <col min="5389" max="5389" width="17.140625" style="10" customWidth="1"/>
    <col min="5390" max="5395" width="0" style="10" hidden="1" customWidth="1"/>
    <col min="5396" max="5396" width="16.28515625" style="10" customWidth="1"/>
    <col min="5397" max="5397" width="1.7109375" style="10" customWidth="1"/>
    <col min="5398" max="5398" width="12.7109375" style="10" customWidth="1"/>
    <col min="5399" max="5399" width="11.28515625" style="10" bestFit="1" customWidth="1"/>
    <col min="5400" max="5411" width="8.7109375" style="10" customWidth="1"/>
    <col min="5412" max="5412" width="10.28515625" style="10" customWidth="1"/>
    <col min="5413" max="5413" width="9.28515625" style="10" customWidth="1"/>
    <col min="5414" max="5414" width="7.7109375" style="10" customWidth="1"/>
    <col min="5415" max="5415" width="7.28515625" style="10" customWidth="1"/>
    <col min="5416" max="5416" width="3.7109375" style="10" customWidth="1"/>
    <col min="5417" max="5420" width="3.140625" style="10" customWidth="1"/>
    <col min="5421" max="5421" width="4" style="10" customWidth="1"/>
    <col min="5422" max="5422" width="3.28515625" style="10" customWidth="1"/>
    <col min="5423" max="5425" width="3.140625" style="10" customWidth="1"/>
    <col min="5426" max="5426" width="9.28515625" style="10" customWidth="1"/>
    <col min="5427" max="5428" width="3.140625" style="10" customWidth="1"/>
    <col min="5429" max="5471" width="1.7109375" style="10" customWidth="1"/>
    <col min="5472" max="5618" width="3" style="10"/>
    <col min="5619" max="5619" width="0.85546875" style="10" customWidth="1"/>
    <col min="5620" max="5620" width="1" style="10" customWidth="1"/>
    <col min="5621" max="5621" width="1.28515625" style="10" customWidth="1"/>
    <col min="5622" max="5622" width="50.5703125" style="10" customWidth="1"/>
    <col min="5623" max="5623" width="4.7109375" style="10" customWidth="1"/>
    <col min="5624" max="5624" width="5.7109375" style="10" customWidth="1"/>
    <col min="5625" max="5625" width="20.5703125" style="10" customWidth="1"/>
    <col min="5626" max="5630" width="0" style="10" hidden="1" customWidth="1"/>
    <col min="5631" max="5631" width="16.28515625" style="10" customWidth="1"/>
    <col min="5632" max="5637" width="0" style="10" hidden="1" customWidth="1"/>
    <col min="5638" max="5638" width="16.7109375" style="10" customWidth="1"/>
    <col min="5639" max="5639" width="16.28515625" style="10" customWidth="1"/>
    <col min="5640" max="5644" width="0" style="10" hidden="1" customWidth="1"/>
    <col min="5645" max="5645" width="17.140625" style="10" customWidth="1"/>
    <col min="5646" max="5651" width="0" style="10" hidden="1" customWidth="1"/>
    <col min="5652" max="5652" width="16.28515625" style="10" customWidth="1"/>
    <col min="5653" max="5653" width="1.7109375" style="10" customWidth="1"/>
    <col min="5654" max="5654" width="12.7109375" style="10" customWidth="1"/>
    <col min="5655" max="5655" width="11.28515625" style="10" bestFit="1" customWidth="1"/>
    <col min="5656" max="5667" width="8.7109375" style="10" customWidth="1"/>
    <col min="5668" max="5668" width="10.28515625" style="10" customWidth="1"/>
    <col min="5669" max="5669" width="9.28515625" style="10" customWidth="1"/>
    <col min="5670" max="5670" width="7.7109375" style="10" customWidth="1"/>
    <col min="5671" max="5671" width="7.28515625" style="10" customWidth="1"/>
    <col min="5672" max="5672" width="3.7109375" style="10" customWidth="1"/>
    <col min="5673" max="5676" width="3.140625" style="10" customWidth="1"/>
    <col min="5677" max="5677" width="4" style="10" customWidth="1"/>
    <col min="5678" max="5678" width="3.28515625" style="10" customWidth="1"/>
    <col min="5679" max="5681" width="3.140625" style="10" customWidth="1"/>
    <col min="5682" max="5682" width="9.28515625" style="10" customWidth="1"/>
    <col min="5683" max="5684" width="3.140625" style="10" customWidth="1"/>
    <col min="5685" max="5727" width="1.7109375" style="10" customWidth="1"/>
    <col min="5728" max="5874" width="3" style="10"/>
    <col min="5875" max="5875" width="0.85546875" style="10" customWidth="1"/>
    <col min="5876" max="5876" width="1" style="10" customWidth="1"/>
    <col min="5877" max="5877" width="1.28515625" style="10" customWidth="1"/>
    <col min="5878" max="5878" width="50.5703125" style="10" customWidth="1"/>
    <col min="5879" max="5879" width="4.7109375" style="10" customWidth="1"/>
    <col min="5880" max="5880" width="5.7109375" style="10" customWidth="1"/>
    <col min="5881" max="5881" width="20.5703125" style="10" customWidth="1"/>
    <col min="5882" max="5886" width="0" style="10" hidden="1" customWidth="1"/>
    <col min="5887" max="5887" width="16.28515625" style="10" customWidth="1"/>
    <col min="5888" max="5893" width="0" style="10" hidden="1" customWidth="1"/>
    <col min="5894" max="5894" width="16.7109375" style="10" customWidth="1"/>
    <col min="5895" max="5895" width="16.28515625" style="10" customWidth="1"/>
    <col min="5896" max="5900" width="0" style="10" hidden="1" customWidth="1"/>
    <col min="5901" max="5901" width="17.140625" style="10" customWidth="1"/>
    <col min="5902" max="5907" width="0" style="10" hidden="1" customWidth="1"/>
    <col min="5908" max="5908" width="16.28515625" style="10" customWidth="1"/>
    <col min="5909" max="5909" width="1.7109375" style="10" customWidth="1"/>
    <col min="5910" max="5910" width="12.7109375" style="10" customWidth="1"/>
    <col min="5911" max="5911" width="11.28515625" style="10" bestFit="1" customWidth="1"/>
    <col min="5912" max="5923" width="8.7109375" style="10" customWidth="1"/>
    <col min="5924" max="5924" width="10.28515625" style="10" customWidth="1"/>
    <col min="5925" max="5925" width="9.28515625" style="10" customWidth="1"/>
    <col min="5926" max="5926" width="7.7109375" style="10" customWidth="1"/>
    <col min="5927" max="5927" width="7.28515625" style="10" customWidth="1"/>
    <col min="5928" max="5928" width="3.7109375" style="10" customWidth="1"/>
    <col min="5929" max="5932" width="3.140625" style="10" customWidth="1"/>
    <col min="5933" max="5933" width="4" style="10" customWidth="1"/>
    <col min="5934" max="5934" width="3.28515625" style="10" customWidth="1"/>
    <col min="5935" max="5937" width="3.140625" style="10" customWidth="1"/>
    <col min="5938" max="5938" width="9.28515625" style="10" customWidth="1"/>
    <col min="5939" max="5940" width="3.140625" style="10" customWidth="1"/>
    <col min="5941" max="5983" width="1.7109375" style="10" customWidth="1"/>
    <col min="5984" max="6130" width="3" style="10"/>
    <col min="6131" max="6131" width="0.85546875" style="10" customWidth="1"/>
    <col min="6132" max="6132" width="1" style="10" customWidth="1"/>
    <col min="6133" max="6133" width="1.28515625" style="10" customWidth="1"/>
    <col min="6134" max="6134" width="50.5703125" style="10" customWidth="1"/>
    <col min="6135" max="6135" width="4.7109375" style="10" customWidth="1"/>
    <col min="6136" max="6136" width="5.7109375" style="10" customWidth="1"/>
    <col min="6137" max="6137" width="20.5703125" style="10" customWidth="1"/>
    <col min="6138" max="6142" width="0" style="10" hidden="1" customWidth="1"/>
    <col min="6143" max="6143" width="16.28515625" style="10" customWidth="1"/>
    <col min="6144" max="6149" width="0" style="10" hidden="1" customWidth="1"/>
    <col min="6150" max="6150" width="16.7109375" style="10" customWidth="1"/>
    <col min="6151" max="6151" width="16.28515625" style="10" customWidth="1"/>
    <col min="6152" max="6156" width="0" style="10" hidden="1" customWidth="1"/>
    <col min="6157" max="6157" width="17.140625" style="10" customWidth="1"/>
    <col min="6158" max="6163" width="0" style="10" hidden="1" customWidth="1"/>
    <col min="6164" max="6164" width="16.28515625" style="10" customWidth="1"/>
    <col min="6165" max="6165" width="1.7109375" style="10" customWidth="1"/>
    <col min="6166" max="6166" width="12.7109375" style="10" customWidth="1"/>
    <col min="6167" max="6167" width="11.28515625" style="10" bestFit="1" customWidth="1"/>
    <col min="6168" max="6179" width="8.7109375" style="10" customWidth="1"/>
    <col min="6180" max="6180" width="10.28515625" style="10" customWidth="1"/>
    <col min="6181" max="6181" width="9.28515625" style="10" customWidth="1"/>
    <col min="6182" max="6182" width="7.7109375" style="10" customWidth="1"/>
    <col min="6183" max="6183" width="7.28515625" style="10" customWidth="1"/>
    <col min="6184" max="6184" width="3.7109375" style="10" customWidth="1"/>
    <col min="6185" max="6188" width="3.140625" style="10" customWidth="1"/>
    <col min="6189" max="6189" width="4" style="10" customWidth="1"/>
    <col min="6190" max="6190" width="3.28515625" style="10" customWidth="1"/>
    <col min="6191" max="6193" width="3.140625" style="10" customWidth="1"/>
    <col min="6194" max="6194" width="9.28515625" style="10" customWidth="1"/>
    <col min="6195" max="6196" width="3.140625" style="10" customWidth="1"/>
    <col min="6197" max="6239" width="1.7109375" style="10" customWidth="1"/>
    <col min="6240" max="6386" width="3" style="10"/>
    <col min="6387" max="6387" width="0.85546875" style="10" customWidth="1"/>
    <col min="6388" max="6388" width="1" style="10" customWidth="1"/>
    <col min="6389" max="6389" width="1.28515625" style="10" customWidth="1"/>
    <col min="6390" max="6390" width="50.5703125" style="10" customWidth="1"/>
    <col min="6391" max="6391" width="4.7109375" style="10" customWidth="1"/>
    <col min="6392" max="6392" width="5.7109375" style="10" customWidth="1"/>
    <col min="6393" max="6393" width="20.5703125" style="10" customWidth="1"/>
    <col min="6394" max="6398" width="0" style="10" hidden="1" customWidth="1"/>
    <col min="6399" max="6399" width="16.28515625" style="10" customWidth="1"/>
    <col min="6400" max="6405" width="0" style="10" hidden="1" customWidth="1"/>
    <col min="6406" max="6406" width="16.7109375" style="10" customWidth="1"/>
    <col min="6407" max="6407" width="16.28515625" style="10" customWidth="1"/>
    <col min="6408" max="6412" width="0" style="10" hidden="1" customWidth="1"/>
    <col min="6413" max="6413" width="17.140625" style="10" customWidth="1"/>
    <col min="6414" max="6419" width="0" style="10" hidden="1" customWidth="1"/>
    <col min="6420" max="6420" width="16.28515625" style="10" customWidth="1"/>
    <col min="6421" max="6421" width="1.7109375" style="10" customWidth="1"/>
    <col min="6422" max="6422" width="12.7109375" style="10" customWidth="1"/>
    <col min="6423" max="6423" width="11.28515625" style="10" bestFit="1" customWidth="1"/>
    <col min="6424" max="6435" width="8.7109375" style="10" customWidth="1"/>
    <col min="6436" max="6436" width="10.28515625" style="10" customWidth="1"/>
    <col min="6437" max="6437" width="9.28515625" style="10" customWidth="1"/>
    <col min="6438" max="6438" width="7.7109375" style="10" customWidth="1"/>
    <col min="6439" max="6439" width="7.28515625" style="10" customWidth="1"/>
    <col min="6440" max="6440" width="3.7109375" style="10" customWidth="1"/>
    <col min="6441" max="6444" width="3.140625" style="10" customWidth="1"/>
    <col min="6445" max="6445" width="4" style="10" customWidth="1"/>
    <col min="6446" max="6446" width="3.28515625" style="10" customWidth="1"/>
    <col min="6447" max="6449" width="3.140625" style="10" customWidth="1"/>
    <col min="6450" max="6450" width="9.28515625" style="10" customWidth="1"/>
    <col min="6451" max="6452" width="3.140625" style="10" customWidth="1"/>
    <col min="6453" max="6495" width="1.7109375" style="10" customWidth="1"/>
    <col min="6496" max="6642" width="3" style="10"/>
    <col min="6643" max="6643" width="0.85546875" style="10" customWidth="1"/>
    <col min="6644" max="6644" width="1" style="10" customWidth="1"/>
    <col min="6645" max="6645" width="1.28515625" style="10" customWidth="1"/>
    <col min="6646" max="6646" width="50.5703125" style="10" customWidth="1"/>
    <col min="6647" max="6647" width="4.7109375" style="10" customWidth="1"/>
    <col min="6648" max="6648" width="5.7109375" style="10" customWidth="1"/>
    <col min="6649" max="6649" width="20.5703125" style="10" customWidth="1"/>
    <col min="6650" max="6654" width="0" style="10" hidden="1" customWidth="1"/>
    <col min="6655" max="6655" width="16.28515625" style="10" customWidth="1"/>
    <col min="6656" max="6661" width="0" style="10" hidden="1" customWidth="1"/>
    <col min="6662" max="6662" width="16.7109375" style="10" customWidth="1"/>
    <col min="6663" max="6663" width="16.28515625" style="10" customWidth="1"/>
    <col min="6664" max="6668" width="0" style="10" hidden="1" customWidth="1"/>
    <col min="6669" max="6669" width="17.140625" style="10" customWidth="1"/>
    <col min="6670" max="6675" width="0" style="10" hidden="1" customWidth="1"/>
    <col min="6676" max="6676" width="16.28515625" style="10" customWidth="1"/>
    <col min="6677" max="6677" width="1.7109375" style="10" customWidth="1"/>
    <col min="6678" max="6678" width="12.7109375" style="10" customWidth="1"/>
    <col min="6679" max="6679" width="11.28515625" style="10" bestFit="1" customWidth="1"/>
    <col min="6680" max="6691" width="8.7109375" style="10" customWidth="1"/>
    <col min="6692" max="6692" width="10.28515625" style="10" customWidth="1"/>
    <col min="6693" max="6693" width="9.28515625" style="10" customWidth="1"/>
    <col min="6694" max="6694" width="7.7109375" style="10" customWidth="1"/>
    <col min="6695" max="6695" width="7.28515625" style="10" customWidth="1"/>
    <col min="6696" max="6696" width="3.7109375" style="10" customWidth="1"/>
    <col min="6697" max="6700" width="3.140625" style="10" customWidth="1"/>
    <col min="6701" max="6701" width="4" style="10" customWidth="1"/>
    <col min="6702" max="6702" width="3.28515625" style="10" customWidth="1"/>
    <col min="6703" max="6705" width="3.140625" style="10" customWidth="1"/>
    <col min="6706" max="6706" width="9.28515625" style="10" customWidth="1"/>
    <col min="6707" max="6708" width="3.140625" style="10" customWidth="1"/>
    <col min="6709" max="6751" width="1.7109375" style="10" customWidth="1"/>
    <col min="6752" max="6898" width="3" style="10"/>
    <col min="6899" max="6899" width="0.85546875" style="10" customWidth="1"/>
    <col min="6900" max="6900" width="1" style="10" customWidth="1"/>
    <col min="6901" max="6901" width="1.28515625" style="10" customWidth="1"/>
    <col min="6902" max="6902" width="50.5703125" style="10" customWidth="1"/>
    <col min="6903" max="6903" width="4.7109375" style="10" customWidth="1"/>
    <col min="6904" max="6904" width="5.7109375" style="10" customWidth="1"/>
    <col min="6905" max="6905" width="20.5703125" style="10" customWidth="1"/>
    <col min="6906" max="6910" width="0" style="10" hidden="1" customWidth="1"/>
    <col min="6911" max="6911" width="16.28515625" style="10" customWidth="1"/>
    <col min="6912" max="6917" width="0" style="10" hidden="1" customWidth="1"/>
    <col min="6918" max="6918" width="16.7109375" style="10" customWidth="1"/>
    <col min="6919" max="6919" width="16.28515625" style="10" customWidth="1"/>
    <col min="6920" max="6924" width="0" style="10" hidden="1" customWidth="1"/>
    <col min="6925" max="6925" width="17.140625" style="10" customWidth="1"/>
    <col min="6926" max="6931" width="0" style="10" hidden="1" customWidth="1"/>
    <col min="6932" max="6932" width="16.28515625" style="10" customWidth="1"/>
    <col min="6933" max="6933" width="1.7109375" style="10" customWidth="1"/>
    <col min="6934" max="6934" width="12.7109375" style="10" customWidth="1"/>
    <col min="6935" max="6935" width="11.28515625" style="10" bestFit="1" customWidth="1"/>
    <col min="6936" max="6947" width="8.7109375" style="10" customWidth="1"/>
    <col min="6948" max="6948" width="10.28515625" style="10" customWidth="1"/>
    <col min="6949" max="6949" width="9.28515625" style="10" customWidth="1"/>
    <col min="6950" max="6950" width="7.7109375" style="10" customWidth="1"/>
    <col min="6951" max="6951" width="7.28515625" style="10" customWidth="1"/>
    <col min="6952" max="6952" width="3.7109375" style="10" customWidth="1"/>
    <col min="6953" max="6956" width="3.140625" style="10" customWidth="1"/>
    <col min="6957" max="6957" width="4" style="10" customWidth="1"/>
    <col min="6958" max="6958" width="3.28515625" style="10" customWidth="1"/>
    <col min="6959" max="6961" width="3.140625" style="10" customWidth="1"/>
    <col min="6962" max="6962" width="9.28515625" style="10" customWidth="1"/>
    <col min="6963" max="6964" width="3.140625" style="10" customWidth="1"/>
    <col min="6965" max="7007" width="1.7109375" style="10" customWidth="1"/>
    <col min="7008" max="7154" width="3" style="10"/>
    <col min="7155" max="7155" width="0.85546875" style="10" customWidth="1"/>
    <col min="7156" max="7156" width="1" style="10" customWidth="1"/>
    <col min="7157" max="7157" width="1.28515625" style="10" customWidth="1"/>
    <col min="7158" max="7158" width="50.5703125" style="10" customWidth="1"/>
    <col min="7159" max="7159" width="4.7109375" style="10" customWidth="1"/>
    <col min="7160" max="7160" width="5.7109375" style="10" customWidth="1"/>
    <col min="7161" max="7161" width="20.5703125" style="10" customWidth="1"/>
    <col min="7162" max="7166" width="0" style="10" hidden="1" customWidth="1"/>
    <col min="7167" max="7167" width="16.28515625" style="10" customWidth="1"/>
    <col min="7168" max="7173" width="0" style="10" hidden="1" customWidth="1"/>
    <col min="7174" max="7174" width="16.7109375" style="10" customWidth="1"/>
    <col min="7175" max="7175" width="16.28515625" style="10" customWidth="1"/>
    <col min="7176" max="7180" width="0" style="10" hidden="1" customWidth="1"/>
    <col min="7181" max="7181" width="17.140625" style="10" customWidth="1"/>
    <col min="7182" max="7187" width="0" style="10" hidden="1" customWidth="1"/>
    <col min="7188" max="7188" width="16.28515625" style="10" customWidth="1"/>
    <col min="7189" max="7189" width="1.7109375" style="10" customWidth="1"/>
    <col min="7190" max="7190" width="12.7109375" style="10" customWidth="1"/>
    <col min="7191" max="7191" width="11.28515625" style="10" bestFit="1" customWidth="1"/>
    <col min="7192" max="7203" width="8.7109375" style="10" customWidth="1"/>
    <col min="7204" max="7204" width="10.28515625" style="10" customWidth="1"/>
    <col min="7205" max="7205" width="9.28515625" style="10" customWidth="1"/>
    <col min="7206" max="7206" width="7.7109375" style="10" customWidth="1"/>
    <col min="7207" max="7207" width="7.28515625" style="10" customWidth="1"/>
    <col min="7208" max="7208" width="3.7109375" style="10" customWidth="1"/>
    <col min="7209" max="7212" width="3.140625" style="10" customWidth="1"/>
    <col min="7213" max="7213" width="4" style="10" customWidth="1"/>
    <col min="7214" max="7214" width="3.28515625" style="10" customWidth="1"/>
    <col min="7215" max="7217" width="3.140625" style="10" customWidth="1"/>
    <col min="7218" max="7218" width="9.28515625" style="10" customWidth="1"/>
    <col min="7219" max="7220" width="3.140625" style="10" customWidth="1"/>
    <col min="7221" max="7263" width="1.7109375" style="10" customWidth="1"/>
    <col min="7264" max="7410" width="3" style="10"/>
    <col min="7411" max="7411" width="0.85546875" style="10" customWidth="1"/>
    <col min="7412" max="7412" width="1" style="10" customWidth="1"/>
    <col min="7413" max="7413" width="1.28515625" style="10" customWidth="1"/>
    <col min="7414" max="7414" width="50.5703125" style="10" customWidth="1"/>
    <col min="7415" max="7415" width="4.7109375" style="10" customWidth="1"/>
    <col min="7416" max="7416" width="5.7109375" style="10" customWidth="1"/>
    <col min="7417" max="7417" width="20.5703125" style="10" customWidth="1"/>
    <col min="7418" max="7422" width="0" style="10" hidden="1" customWidth="1"/>
    <col min="7423" max="7423" width="16.28515625" style="10" customWidth="1"/>
    <col min="7424" max="7429" width="0" style="10" hidden="1" customWidth="1"/>
    <col min="7430" max="7430" width="16.7109375" style="10" customWidth="1"/>
    <col min="7431" max="7431" width="16.28515625" style="10" customWidth="1"/>
    <col min="7432" max="7436" width="0" style="10" hidden="1" customWidth="1"/>
    <col min="7437" max="7437" width="17.140625" style="10" customWidth="1"/>
    <col min="7438" max="7443" width="0" style="10" hidden="1" customWidth="1"/>
    <col min="7444" max="7444" width="16.28515625" style="10" customWidth="1"/>
    <col min="7445" max="7445" width="1.7109375" style="10" customWidth="1"/>
    <col min="7446" max="7446" width="12.7109375" style="10" customWidth="1"/>
    <col min="7447" max="7447" width="11.28515625" style="10" bestFit="1" customWidth="1"/>
    <col min="7448" max="7459" width="8.7109375" style="10" customWidth="1"/>
    <col min="7460" max="7460" width="10.28515625" style="10" customWidth="1"/>
    <col min="7461" max="7461" width="9.28515625" style="10" customWidth="1"/>
    <col min="7462" max="7462" width="7.7109375" style="10" customWidth="1"/>
    <col min="7463" max="7463" width="7.28515625" style="10" customWidth="1"/>
    <col min="7464" max="7464" width="3.7109375" style="10" customWidth="1"/>
    <col min="7465" max="7468" width="3.140625" style="10" customWidth="1"/>
    <col min="7469" max="7469" width="4" style="10" customWidth="1"/>
    <col min="7470" max="7470" width="3.28515625" style="10" customWidth="1"/>
    <col min="7471" max="7473" width="3.140625" style="10" customWidth="1"/>
    <col min="7474" max="7474" width="9.28515625" style="10" customWidth="1"/>
    <col min="7475" max="7476" width="3.140625" style="10" customWidth="1"/>
    <col min="7477" max="7519" width="1.7109375" style="10" customWidth="1"/>
    <col min="7520" max="7666" width="3" style="10"/>
    <col min="7667" max="7667" width="0.85546875" style="10" customWidth="1"/>
    <col min="7668" max="7668" width="1" style="10" customWidth="1"/>
    <col min="7669" max="7669" width="1.28515625" style="10" customWidth="1"/>
    <col min="7670" max="7670" width="50.5703125" style="10" customWidth="1"/>
    <col min="7671" max="7671" width="4.7109375" style="10" customWidth="1"/>
    <col min="7672" max="7672" width="5.7109375" style="10" customWidth="1"/>
    <col min="7673" max="7673" width="20.5703125" style="10" customWidth="1"/>
    <col min="7674" max="7678" width="0" style="10" hidden="1" customWidth="1"/>
    <col min="7679" max="7679" width="16.28515625" style="10" customWidth="1"/>
    <col min="7680" max="7685" width="0" style="10" hidden="1" customWidth="1"/>
    <col min="7686" max="7686" width="16.7109375" style="10" customWidth="1"/>
    <col min="7687" max="7687" width="16.28515625" style="10" customWidth="1"/>
    <col min="7688" max="7692" width="0" style="10" hidden="1" customWidth="1"/>
    <col min="7693" max="7693" width="17.140625" style="10" customWidth="1"/>
    <col min="7694" max="7699" width="0" style="10" hidden="1" customWidth="1"/>
    <col min="7700" max="7700" width="16.28515625" style="10" customWidth="1"/>
    <col min="7701" max="7701" width="1.7109375" style="10" customWidth="1"/>
    <col min="7702" max="7702" width="12.7109375" style="10" customWidth="1"/>
    <col min="7703" max="7703" width="11.28515625" style="10" bestFit="1" customWidth="1"/>
    <col min="7704" max="7715" width="8.7109375" style="10" customWidth="1"/>
    <col min="7716" max="7716" width="10.28515625" style="10" customWidth="1"/>
    <col min="7717" max="7717" width="9.28515625" style="10" customWidth="1"/>
    <col min="7718" max="7718" width="7.7109375" style="10" customWidth="1"/>
    <col min="7719" max="7719" width="7.28515625" style="10" customWidth="1"/>
    <col min="7720" max="7720" width="3.7109375" style="10" customWidth="1"/>
    <col min="7721" max="7724" width="3.140625" style="10" customWidth="1"/>
    <col min="7725" max="7725" width="4" style="10" customWidth="1"/>
    <col min="7726" max="7726" width="3.28515625" style="10" customWidth="1"/>
    <col min="7727" max="7729" width="3.140625" style="10" customWidth="1"/>
    <col min="7730" max="7730" width="9.28515625" style="10" customWidth="1"/>
    <col min="7731" max="7732" width="3.140625" style="10" customWidth="1"/>
    <col min="7733" max="7775" width="1.7109375" style="10" customWidth="1"/>
    <col min="7776" max="7922" width="3" style="10"/>
    <col min="7923" max="7923" width="0.85546875" style="10" customWidth="1"/>
    <col min="7924" max="7924" width="1" style="10" customWidth="1"/>
    <col min="7925" max="7925" width="1.28515625" style="10" customWidth="1"/>
    <col min="7926" max="7926" width="50.5703125" style="10" customWidth="1"/>
    <col min="7927" max="7927" width="4.7109375" style="10" customWidth="1"/>
    <col min="7928" max="7928" width="5.7109375" style="10" customWidth="1"/>
    <col min="7929" max="7929" width="20.5703125" style="10" customWidth="1"/>
    <col min="7930" max="7934" width="0" style="10" hidden="1" customWidth="1"/>
    <col min="7935" max="7935" width="16.28515625" style="10" customWidth="1"/>
    <col min="7936" max="7941" width="0" style="10" hidden="1" customWidth="1"/>
    <col min="7942" max="7942" width="16.7109375" style="10" customWidth="1"/>
    <col min="7943" max="7943" width="16.28515625" style="10" customWidth="1"/>
    <col min="7944" max="7948" width="0" style="10" hidden="1" customWidth="1"/>
    <col min="7949" max="7949" width="17.140625" style="10" customWidth="1"/>
    <col min="7950" max="7955" width="0" style="10" hidden="1" customWidth="1"/>
    <col min="7956" max="7956" width="16.28515625" style="10" customWidth="1"/>
    <col min="7957" max="7957" width="1.7109375" style="10" customWidth="1"/>
    <col min="7958" max="7958" width="12.7109375" style="10" customWidth="1"/>
    <col min="7959" max="7959" width="11.28515625" style="10" bestFit="1" customWidth="1"/>
    <col min="7960" max="7971" width="8.7109375" style="10" customWidth="1"/>
    <col min="7972" max="7972" width="10.28515625" style="10" customWidth="1"/>
    <col min="7973" max="7973" width="9.28515625" style="10" customWidth="1"/>
    <col min="7974" max="7974" width="7.7109375" style="10" customWidth="1"/>
    <col min="7975" max="7975" width="7.28515625" style="10" customWidth="1"/>
    <col min="7976" max="7976" width="3.7109375" style="10" customWidth="1"/>
    <col min="7977" max="7980" width="3.140625" style="10" customWidth="1"/>
    <col min="7981" max="7981" width="4" style="10" customWidth="1"/>
    <col min="7982" max="7982" width="3.28515625" style="10" customWidth="1"/>
    <col min="7983" max="7985" width="3.140625" style="10" customWidth="1"/>
    <col min="7986" max="7986" width="9.28515625" style="10" customWidth="1"/>
    <col min="7987" max="7988" width="3.140625" style="10" customWidth="1"/>
    <col min="7989" max="8031" width="1.7109375" style="10" customWidth="1"/>
    <col min="8032" max="8178" width="3" style="10"/>
    <col min="8179" max="8179" width="0.85546875" style="10" customWidth="1"/>
    <col min="8180" max="8180" width="1" style="10" customWidth="1"/>
    <col min="8181" max="8181" width="1.28515625" style="10" customWidth="1"/>
    <col min="8182" max="8182" width="50.5703125" style="10" customWidth="1"/>
    <col min="8183" max="8183" width="4.7109375" style="10" customWidth="1"/>
    <col min="8184" max="8184" width="5.7109375" style="10" customWidth="1"/>
    <col min="8185" max="8185" width="20.5703125" style="10" customWidth="1"/>
    <col min="8186" max="8190" width="0" style="10" hidden="1" customWidth="1"/>
    <col min="8191" max="8191" width="16.28515625" style="10" customWidth="1"/>
    <col min="8192" max="8197" width="0" style="10" hidden="1" customWidth="1"/>
    <col min="8198" max="8198" width="16.7109375" style="10" customWidth="1"/>
    <col min="8199" max="8199" width="16.28515625" style="10" customWidth="1"/>
    <col min="8200" max="8204" width="0" style="10" hidden="1" customWidth="1"/>
    <col min="8205" max="8205" width="17.140625" style="10" customWidth="1"/>
    <col min="8206" max="8211" width="0" style="10" hidden="1" customWidth="1"/>
    <col min="8212" max="8212" width="16.28515625" style="10" customWidth="1"/>
    <col min="8213" max="8213" width="1.7109375" style="10" customWidth="1"/>
    <col min="8214" max="8214" width="12.7109375" style="10" customWidth="1"/>
    <col min="8215" max="8215" width="11.28515625" style="10" bestFit="1" customWidth="1"/>
    <col min="8216" max="8227" width="8.7109375" style="10" customWidth="1"/>
    <col min="8228" max="8228" width="10.28515625" style="10" customWidth="1"/>
    <col min="8229" max="8229" width="9.28515625" style="10" customWidth="1"/>
    <col min="8230" max="8230" width="7.7109375" style="10" customWidth="1"/>
    <col min="8231" max="8231" width="7.28515625" style="10" customWidth="1"/>
    <col min="8232" max="8232" width="3.7109375" style="10" customWidth="1"/>
    <col min="8233" max="8236" width="3.140625" style="10" customWidth="1"/>
    <col min="8237" max="8237" width="4" style="10" customWidth="1"/>
    <col min="8238" max="8238" width="3.28515625" style="10" customWidth="1"/>
    <col min="8239" max="8241" width="3.140625" style="10" customWidth="1"/>
    <col min="8242" max="8242" width="9.28515625" style="10" customWidth="1"/>
    <col min="8243" max="8244" width="3.140625" style="10" customWidth="1"/>
    <col min="8245" max="8287" width="1.7109375" style="10" customWidth="1"/>
    <col min="8288" max="8434" width="3" style="10"/>
    <col min="8435" max="8435" width="0.85546875" style="10" customWidth="1"/>
    <col min="8436" max="8436" width="1" style="10" customWidth="1"/>
    <col min="8437" max="8437" width="1.28515625" style="10" customWidth="1"/>
    <col min="8438" max="8438" width="50.5703125" style="10" customWidth="1"/>
    <col min="8439" max="8439" width="4.7109375" style="10" customWidth="1"/>
    <col min="8440" max="8440" width="5.7109375" style="10" customWidth="1"/>
    <col min="8441" max="8441" width="20.5703125" style="10" customWidth="1"/>
    <col min="8442" max="8446" width="0" style="10" hidden="1" customWidth="1"/>
    <col min="8447" max="8447" width="16.28515625" style="10" customWidth="1"/>
    <col min="8448" max="8453" width="0" style="10" hidden="1" customWidth="1"/>
    <col min="8454" max="8454" width="16.7109375" style="10" customWidth="1"/>
    <col min="8455" max="8455" width="16.28515625" style="10" customWidth="1"/>
    <col min="8456" max="8460" width="0" style="10" hidden="1" customWidth="1"/>
    <col min="8461" max="8461" width="17.140625" style="10" customWidth="1"/>
    <col min="8462" max="8467" width="0" style="10" hidden="1" customWidth="1"/>
    <col min="8468" max="8468" width="16.28515625" style="10" customWidth="1"/>
    <col min="8469" max="8469" width="1.7109375" style="10" customWidth="1"/>
    <col min="8470" max="8470" width="12.7109375" style="10" customWidth="1"/>
    <col min="8471" max="8471" width="11.28515625" style="10" bestFit="1" customWidth="1"/>
    <col min="8472" max="8483" width="8.7109375" style="10" customWidth="1"/>
    <col min="8484" max="8484" width="10.28515625" style="10" customWidth="1"/>
    <col min="8485" max="8485" width="9.28515625" style="10" customWidth="1"/>
    <col min="8486" max="8486" width="7.7109375" style="10" customWidth="1"/>
    <col min="8487" max="8487" width="7.28515625" style="10" customWidth="1"/>
    <col min="8488" max="8488" width="3.7109375" style="10" customWidth="1"/>
    <col min="8489" max="8492" width="3.140625" style="10" customWidth="1"/>
    <col min="8493" max="8493" width="4" style="10" customWidth="1"/>
    <col min="8494" max="8494" width="3.28515625" style="10" customWidth="1"/>
    <col min="8495" max="8497" width="3.140625" style="10" customWidth="1"/>
    <col min="8498" max="8498" width="9.28515625" style="10" customWidth="1"/>
    <col min="8499" max="8500" width="3.140625" style="10" customWidth="1"/>
    <col min="8501" max="8543" width="1.7109375" style="10" customWidth="1"/>
    <col min="8544" max="8690" width="3" style="10"/>
    <col min="8691" max="8691" width="0.85546875" style="10" customWidth="1"/>
    <col min="8692" max="8692" width="1" style="10" customWidth="1"/>
    <col min="8693" max="8693" width="1.28515625" style="10" customWidth="1"/>
    <col min="8694" max="8694" width="50.5703125" style="10" customWidth="1"/>
    <col min="8695" max="8695" width="4.7109375" style="10" customWidth="1"/>
    <col min="8696" max="8696" width="5.7109375" style="10" customWidth="1"/>
    <col min="8697" max="8697" width="20.5703125" style="10" customWidth="1"/>
    <col min="8698" max="8702" width="0" style="10" hidden="1" customWidth="1"/>
    <col min="8703" max="8703" width="16.28515625" style="10" customWidth="1"/>
    <col min="8704" max="8709" width="0" style="10" hidden="1" customWidth="1"/>
    <col min="8710" max="8710" width="16.7109375" style="10" customWidth="1"/>
    <col min="8711" max="8711" width="16.28515625" style="10" customWidth="1"/>
    <col min="8712" max="8716" width="0" style="10" hidden="1" customWidth="1"/>
    <col min="8717" max="8717" width="17.140625" style="10" customWidth="1"/>
    <col min="8718" max="8723" width="0" style="10" hidden="1" customWidth="1"/>
    <col min="8724" max="8724" width="16.28515625" style="10" customWidth="1"/>
    <col min="8725" max="8725" width="1.7109375" style="10" customWidth="1"/>
    <col min="8726" max="8726" width="12.7109375" style="10" customWidth="1"/>
    <col min="8727" max="8727" width="11.28515625" style="10" bestFit="1" customWidth="1"/>
    <col min="8728" max="8739" width="8.7109375" style="10" customWidth="1"/>
    <col min="8740" max="8740" width="10.28515625" style="10" customWidth="1"/>
    <col min="8741" max="8741" width="9.28515625" style="10" customWidth="1"/>
    <col min="8742" max="8742" width="7.7109375" style="10" customWidth="1"/>
    <col min="8743" max="8743" width="7.28515625" style="10" customWidth="1"/>
    <col min="8744" max="8744" width="3.7109375" style="10" customWidth="1"/>
    <col min="8745" max="8748" width="3.140625" style="10" customWidth="1"/>
    <col min="8749" max="8749" width="4" style="10" customWidth="1"/>
    <col min="8750" max="8750" width="3.28515625" style="10" customWidth="1"/>
    <col min="8751" max="8753" width="3.140625" style="10" customWidth="1"/>
    <col min="8754" max="8754" width="9.28515625" style="10" customWidth="1"/>
    <col min="8755" max="8756" width="3.140625" style="10" customWidth="1"/>
    <col min="8757" max="8799" width="1.7109375" style="10" customWidth="1"/>
    <col min="8800" max="8946" width="3" style="10"/>
    <col min="8947" max="8947" width="0.85546875" style="10" customWidth="1"/>
    <col min="8948" max="8948" width="1" style="10" customWidth="1"/>
    <col min="8949" max="8949" width="1.28515625" style="10" customWidth="1"/>
    <col min="8950" max="8950" width="50.5703125" style="10" customWidth="1"/>
    <col min="8951" max="8951" width="4.7109375" style="10" customWidth="1"/>
    <col min="8952" max="8952" width="5.7109375" style="10" customWidth="1"/>
    <col min="8953" max="8953" width="20.5703125" style="10" customWidth="1"/>
    <col min="8954" max="8958" width="0" style="10" hidden="1" customWidth="1"/>
    <col min="8959" max="8959" width="16.28515625" style="10" customWidth="1"/>
    <col min="8960" max="8965" width="0" style="10" hidden="1" customWidth="1"/>
    <col min="8966" max="8966" width="16.7109375" style="10" customWidth="1"/>
    <col min="8967" max="8967" width="16.28515625" style="10" customWidth="1"/>
    <col min="8968" max="8972" width="0" style="10" hidden="1" customWidth="1"/>
    <col min="8973" max="8973" width="17.140625" style="10" customWidth="1"/>
    <col min="8974" max="8979" width="0" style="10" hidden="1" customWidth="1"/>
    <col min="8980" max="8980" width="16.28515625" style="10" customWidth="1"/>
    <col min="8981" max="8981" width="1.7109375" style="10" customWidth="1"/>
    <col min="8982" max="8982" width="12.7109375" style="10" customWidth="1"/>
    <col min="8983" max="8983" width="11.28515625" style="10" bestFit="1" customWidth="1"/>
    <col min="8984" max="8995" width="8.7109375" style="10" customWidth="1"/>
    <col min="8996" max="8996" width="10.28515625" style="10" customWidth="1"/>
    <col min="8997" max="8997" width="9.28515625" style="10" customWidth="1"/>
    <col min="8998" max="8998" width="7.7109375" style="10" customWidth="1"/>
    <col min="8999" max="8999" width="7.28515625" style="10" customWidth="1"/>
    <col min="9000" max="9000" width="3.7109375" style="10" customWidth="1"/>
    <col min="9001" max="9004" width="3.140625" style="10" customWidth="1"/>
    <col min="9005" max="9005" width="4" style="10" customWidth="1"/>
    <col min="9006" max="9006" width="3.28515625" style="10" customWidth="1"/>
    <col min="9007" max="9009" width="3.140625" style="10" customWidth="1"/>
    <col min="9010" max="9010" width="9.28515625" style="10" customWidth="1"/>
    <col min="9011" max="9012" width="3.140625" style="10" customWidth="1"/>
    <col min="9013" max="9055" width="1.7109375" style="10" customWidth="1"/>
    <col min="9056" max="9202" width="3" style="10"/>
    <col min="9203" max="9203" width="0.85546875" style="10" customWidth="1"/>
    <col min="9204" max="9204" width="1" style="10" customWidth="1"/>
    <col min="9205" max="9205" width="1.28515625" style="10" customWidth="1"/>
    <col min="9206" max="9206" width="50.5703125" style="10" customWidth="1"/>
    <col min="9207" max="9207" width="4.7109375" style="10" customWidth="1"/>
    <col min="9208" max="9208" width="5.7109375" style="10" customWidth="1"/>
    <col min="9209" max="9209" width="20.5703125" style="10" customWidth="1"/>
    <col min="9210" max="9214" width="0" style="10" hidden="1" customWidth="1"/>
    <col min="9215" max="9215" width="16.28515625" style="10" customWidth="1"/>
    <col min="9216" max="9221" width="0" style="10" hidden="1" customWidth="1"/>
    <col min="9222" max="9222" width="16.7109375" style="10" customWidth="1"/>
    <col min="9223" max="9223" width="16.28515625" style="10" customWidth="1"/>
    <col min="9224" max="9228" width="0" style="10" hidden="1" customWidth="1"/>
    <col min="9229" max="9229" width="17.140625" style="10" customWidth="1"/>
    <col min="9230" max="9235" width="0" style="10" hidden="1" customWidth="1"/>
    <col min="9236" max="9236" width="16.28515625" style="10" customWidth="1"/>
    <col min="9237" max="9237" width="1.7109375" style="10" customWidth="1"/>
    <col min="9238" max="9238" width="12.7109375" style="10" customWidth="1"/>
    <col min="9239" max="9239" width="11.28515625" style="10" bestFit="1" customWidth="1"/>
    <col min="9240" max="9251" width="8.7109375" style="10" customWidth="1"/>
    <col min="9252" max="9252" width="10.28515625" style="10" customWidth="1"/>
    <col min="9253" max="9253" width="9.28515625" style="10" customWidth="1"/>
    <col min="9254" max="9254" width="7.7109375" style="10" customWidth="1"/>
    <col min="9255" max="9255" width="7.28515625" style="10" customWidth="1"/>
    <col min="9256" max="9256" width="3.7109375" style="10" customWidth="1"/>
    <col min="9257" max="9260" width="3.140625" style="10" customWidth="1"/>
    <col min="9261" max="9261" width="4" style="10" customWidth="1"/>
    <col min="9262" max="9262" width="3.28515625" style="10" customWidth="1"/>
    <col min="9263" max="9265" width="3.140625" style="10" customWidth="1"/>
    <col min="9266" max="9266" width="9.28515625" style="10" customWidth="1"/>
    <col min="9267" max="9268" width="3.140625" style="10" customWidth="1"/>
    <col min="9269" max="9311" width="1.7109375" style="10" customWidth="1"/>
    <col min="9312" max="9458" width="3" style="10"/>
    <col min="9459" max="9459" width="0.85546875" style="10" customWidth="1"/>
    <col min="9460" max="9460" width="1" style="10" customWidth="1"/>
    <col min="9461" max="9461" width="1.28515625" style="10" customWidth="1"/>
    <col min="9462" max="9462" width="50.5703125" style="10" customWidth="1"/>
    <col min="9463" max="9463" width="4.7109375" style="10" customWidth="1"/>
    <col min="9464" max="9464" width="5.7109375" style="10" customWidth="1"/>
    <col min="9465" max="9465" width="20.5703125" style="10" customWidth="1"/>
    <col min="9466" max="9470" width="0" style="10" hidden="1" customWidth="1"/>
    <col min="9471" max="9471" width="16.28515625" style="10" customWidth="1"/>
    <col min="9472" max="9477" width="0" style="10" hidden="1" customWidth="1"/>
    <col min="9478" max="9478" width="16.7109375" style="10" customWidth="1"/>
    <col min="9479" max="9479" width="16.28515625" style="10" customWidth="1"/>
    <col min="9480" max="9484" width="0" style="10" hidden="1" customWidth="1"/>
    <col min="9485" max="9485" width="17.140625" style="10" customWidth="1"/>
    <col min="9486" max="9491" width="0" style="10" hidden="1" customWidth="1"/>
    <col min="9492" max="9492" width="16.28515625" style="10" customWidth="1"/>
    <col min="9493" max="9493" width="1.7109375" style="10" customWidth="1"/>
    <col min="9494" max="9494" width="12.7109375" style="10" customWidth="1"/>
    <col min="9495" max="9495" width="11.28515625" style="10" bestFit="1" customWidth="1"/>
    <col min="9496" max="9507" width="8.7109375" style="10" customWidth="1"/>
    <col min="9508" max="9508" width="10.28515625" style="10" customWidth="1"/>
    <col min="9509" max="9509" width="9.28515625" style="10" customWidth="1"/>
    <col min="9510" max="9510" width="7.7109375" style="10" customWidth="1"/>
    <col min="9511" max="9511" width="7.28515625" style="10" customWidth="1"/>
    <col min="9512" max="9512" width="3.7109375" style="10" customWidth="1"/>
    <col min="9513" max="9516" width="3.140625" style="10" customWidth="1"/>
    <col min="9517" max="9517" width="4" style="10" customWidth="1"/>
    <col min="9518" max="9518" width="3.28515625" style="10" customWidth="1"/>
    <col min="9519" max="9521" width="3.140625" style="10" customWidth="1"/>
    <col min="9522" max="9522" width="9.28515625" style="10" customWidth="1"/>
    <col min="9523" max="9524" width="3.140625" style="10" customWidth="1"/>
    <col min="9525" max="9567" width="1.7109375" style="10" customWidth="1"/>
    <col min="9568" max="9714" width="3" style="10"/>
    <col min="9715" max="9715" width="0.85546875" style="10" customWidth="1"/>
    <col min="9716" max="9716" width="1" style="10" customWidth="1"/>
    <col min="9717" max="9717" width="1.28515625" style="10" customWidth="1"/>
    <col min="9718" max="9718" width="50.5703125" style="10" customWidth="1"/>
    <col min="9719" max="9719" width="4.7109375" style="10" customWidth="1"/>
    <col min="9720" max="9720" width="5.7109375" style="10" customWidth="1"/>
    <col min="9721" max="9721" width="20.5703125" style="10" customWidth="1"/>
    <col min="9722" max="9726" width="0" style="10" hidden="1" customWidth="1"/>
    <col min="9727" max="9727" width="16.28515625" style="10" customWidth="1"/>
    <col min="9728" max="9733" width="0" style="10" hidden="1" customWidth="1"/>
    <col min="9734" max="9734" width="16.7109375" style="10" customWidth="1"/>
    <col min="9735" max="9735" width="16.28515625" style="10" customWidth="1"/>
    <col min="9736" max="9740" width="0" style="10" hidden="1" customWidth="1"/>
    <col min="9741" max="9741" width="17.140625" style="10" customWidth="1"/>
    <col min="9742" max="9747" width="0" style="10" hidden="1" customWidth="1"/>
    <col min="9748" max="9748" width="16.28515625" style="10" customWidth="1"/>
    <col min="9749" max="9749" width="1.7109375" style="10" customWidth="1"/>
    <col min="9750" max="9750" width="12.7109375" style="10" customWidth="1"/>
    <col min="9751" max="9751" width="11.28515625" style="10" bestFit="1" customWidth="1"/>
    <col min="9752" max="9763" width="8.7109375" style="10" customWidth="1"/>
    <col min="9764" max="9764" width="10.28515625" style="10" customWidth="1"/>
    <col min="9765" max="9765" width="9.28515625" style="10" customWidth="1"/>
    <col min="9766" max="9766" width="7.7109375" style="10" customWidth="1"/>
    <col min="9767" max="9767" width="7.28515625" style="10" customWidth="1"/>
    <col min="9768" max="9768" width="3.7109375" style="10" customWidth="1"/>
    <col min="9769" max="9772" width="3.140625" style="10" customWidth="1"/>
    <col min="9773" max="9773" width="4" style="10" customWidth="1"/>
    <col min="9774" max="9774" width="3.28515625" style="10" customWidth="1"/>
    <col min="9775" max="9777" width="3.140625" style="10" customWidth="1"/>
    <col min="9778" max="9778" width="9.28515625" style="10" customWidth="1"/>
    <col min="9779" max="9780" width="3.140625" style="10" customWidth="1"/>
    <col min="9781" max="9823" width="1.7109375" style="10" customWidth="1"/>
    <col min="9824" max="9970" width="3" style="10"/>
    <col min="9971" max="9971" width="0.85546875" style="10" customWidth="1"/>
    <col min="9972" max="9972" width="1" style="10" customWidth="1"/>
    <col min="9973" max="9973" width="1.28515625" style="10" customWidth="1"/>
    <col min="9974" max="9974" width="50.5703125" style="10" customWidth="1"/>
    <col min="9975" max="9975" width="4.7109375" style="10" customWidth="1"/>
    <col min="9976" max="9976" width="5.7109375" style="10" customWidth="1"/>
    <col min="9977" max="9977" width="20.5703125" style="10" customWidth="1"/>
    <col min="9978" max="9982" width="0" style="10" hidden="1" customWidth="1"/>
    <col min="9983" max="9983" width="16.28515625" style="10" customWidth="1"/>
    <col min="9984" max="9989" width="0" style="10" hidden="1" customWidth="1"/>
    <col min="9990" max="9990" width="16.7109375" style="10" customWidth="1"/>
    <col min="9991" max="9991" width="16.28515625" style="10" customWidth="1"/>
    <col min="9992" max="9996" width="0" style="10" hidden="1" customWidth="1"/>
    <col min="9997" max="9997" width="17.140625" style="10" customWidth="1"/>
    <col min="9998" max="10003" width="0" style="10" hidden="1" customWidth="1"/>
    <col min="10004" max="10004" width="16.28515625" style="10" customWidth="1"/>
    <col min="10005" max="10005" width="1.7109375" style="10" customWidth="1"/>
    <col min="10006" max="10006" width="12.7109375" style="10" customWidth="1"/>
    <col min="10007" max="10007" width="11.28515625" style="10" bestFit="1" customWidth="1"/>
    <col min="10008" max="10019" width="8.7109375" style="10" customWidth="1"/>
    <col min="10020" max="10020" width="10.28515625" style="10" customWidth="1"/>
    <col min="10021" max="10021" width="9.28515625" style="10" customWidth="1"/>
    <col min="10022" max="10022" width="7.7109375" style="10" customWidth="1"/>
    <col min="10023" max="10023" width="7.28515625" style="10" customWidth="1"/>
    <col min="10024" max="10024" width="3.7109375" style="10" customWidth="1"/>
    <col min="10025" max="10028" width="3.140625" style="10" customWidth="1"/>
    <col min="10029" max="10029" width="4" style="10" customWidth="1"/>
    <col min="10030" max="10030" width="3.28515625" style="10" customWidth="1"/>
    <col min="10031" max="10033" width="3.140625" style="10" customWidth="1"/>
    <col min="10034" max="10034" width="9.28515625" style="10" customWidth="1"/>
    <col min="10035" max="10036" width="3.140625" style="10" customWidth="1"/>
    <col min="10037" max="10079" width="1.7109375" style="10" customWidth="1"/>
    <col min="10080" max="10226" width="3" style="10"/>
    <col min="10227" max="10227" width="0.85546875" style="10" customWidth="1"/>
    <col min="10228" max="10228" width="1" style="10" customWidth="1"/>
    <col min="10229" max="10229" width="1.28515625" style="10" customWidth="1"/>
    <col min="10230" max="10230" width="50.5703125" style="10" customWidth="1"/>
    <col min="10231" max="10231" width="4.7109375" style="10" customWidth="1"/>
    <col min="10232" max="10232" width="5.7109375" style="10" customWidth="1"/>
    <col min="10233" max="10233" width="20.5703125" style="10" customWidth="1"/>
    <col min="10234" max="10238" width="0" style="10" hidden="1" customWidth="1"/>
    <col min="10239" max="10239" width="16.28515625" style="10" customWidth="1"/>
    <col min="10240" max="10245" width="0" style="10" hidden="1" customWidth="1"/>
    <col min="10246" max="10246" width="16.7109375" style="10" customWidth="1"/>
    <col min="10247" max="10247" width="16.28515625" style="10" customWidth="1"/>
    <col min="10248" max="10252" width="0" style="10" hidden="1" customWidth="1"/>
    <col min="10253" max="10253" width="17.140625" style="10" customWidth="1"/>
    <col min="10254" max="10259" width="0" style="10" hidden="1" customWidth="1"/>
    <col min="10260" max="10260" width="16.28515625" style="10" customWidth="1"/>
    <col min="10261" max="10261" width="1.7109375" style="10" customWidth="1"/>
    <col min="10262" max="10262" width="12.7109375" style="10" customWidth="1"/>
    <col min="10263" max="10263" width="11.28515625" style="10" bestFit="1" customWidth="1"/>
    <col min="10264" max="10275" width="8.7109375" style="10" customWidth="1"/>
    <col min="10276" max="10276" width="10.28515625" style="10" customWidth="1"/>
    <col min="10277" max="10277" width="9.28515625" style="10" customWidth="1"/>
    <col min="10278" max="10278" width="7.7109375" style="10" customWidth="1"/>
    <col min="10279" max="10279" width="7.28515625" style="10" customWidth="1"/>
    <col min="10280" max="10280" width="3.7109375" style="10" customWidth="1"/>
    <col min="10281" max="10284" width="3.140625" style="10" customWidth="1"/>
    <col min="10285" max="10285" width="4" style="10" customWidth="1"/>
    <col min="10286" max="10286" width="3.28515625" style="10" customWidth="1"/>
    <col min="10287" max="10289" width="3.140625" style="10" customWidth="1"/>
    <col min="10290" max="10290" width="9.28515625" style="10" customWidth="1"/>
    <col min="10291" max="10292" width="3.140625" style="10" customWidth="1"/>
    <col min="10293" max="10335" width="1.7109375" style="10" customWidth="1"/>
    <col min="10336" max="10482" width="3" style="10"/>
    <col min="10483" max="10483" width="0.85546875" style="10" customWidth="1"/>
    <col min="10484" max="10484" width="1" style="10" customWidth="1"/>
    <col min="10485" max="10485" width="1.28515625" style="10" customWidth="1"/>
    <col min="10486" max="10486" width="50.5703125" style="10" customWidth="1"/>
    <col min="10487" max="10487" width="4.7109375" style="10" customWidth="1"/>
    <col min="10488" max="10488" width="5.7109375" style="10" customWidth="1"/>
    <col min="10489" max="10489" width="20.5703125" style="10" customWidth="1"/>
    <col min="10490" max="10494" width="0" style="10" hidden="1" customWidth="1"/>
    <col min="10495" max="10495" width="16.28515625" style="10" customWidth="1"/>
    <col min="10496" max="10501" width="0" style="10" hidden="1" customWidth="1"/>
    <col min="10502" max="10502" width="16.7109375" style="10" customWidth="1"/>
    <col min="10503" max="10503" width="16.28515625" style="10" customWidth="1"/>
    <col min="10504" max="10508" width="0" style="10" hidden="1" customWidth="1"/>
    <col min="10509" max="10509" width="17.140625" style="10" customWidth="1"/>
    <col min="10510" max="10515" width="0" style="10" hidden="1" customWidth="1"/>
    <col min="10516" max="10516" width="16.28515625" style="10" customWidth="1"/>
    <col min="10517" max="10517" width="1.7109375" style="10" customWidth="1"/>
    <col min="10518" max="10518" width="12.7109375" style="10" customWidth="1"/>
    <col min="10519" max="10519" width="11.28515625" style="10" bestFit="1" customWidth="1"/>
    <col min="10520" max="10531" width="8.7109375" style="10" customWidth="1"/>
    <col min="10532" max="10532" width="10.28515625" style="10" customWidth="1"/>
    <col min="10533" max="10533" width="9.28515625" style="10" customWidth="1"/>
    <col min="10534" max="10534" width="7.7109375" style="10" customWidth="1"/>
    <col min="10535" max="10535" width="7.28515625" style="10" customWidth="1"/>
    <col min="10536" max="10536" width="3.7109375" style="10" customWidth="1"/>
    <col min="10537" max="10540" width="3.140625" style="10" customWidth="1"/>
    <col min="10541" max="10541" width="4" style="10" customWidth="1"/>
    <col min="10542" max="10542" width="3.28515625" style="10" customWidth="1"/>
    <col min="10543" max="10545" width="3.140625" style="10" customWidth="1"/>
    <col min="10546" max="10546" width="9.28515625" style="10" customWidth="1"/>
    <col min="10547" max="10548" width="3.140625" style="10" customWidth="1"/>
    <col min="10549" max="10591" width="1.7109375" style="10" customWidth="1"/>
    <col min="10592" max="10738" width="3" style="10"/>
    <col min="10739" max="10739" width="0.85546875" style="10" customWidth="1"/>
    <col min="10740" max="10740" width="1" style="10" customWidth="1"/>
    <col min="10741" max="10741" width="1.28515625" style="10" customWidth="1"/>
    <col min="10742" max="10742" width="50.5703125" style="10" customWidth="1"/>
    <col min="10743" max="10743" width="4.7109375" style="10" customWidth="1"/>
    <col min="10744" max="10744" width="5.7109375" style="10" customWidth="1"/>
    <col min="10745" max="10745" width="20.5703125" style="10" customWidth="1"/>
    <col min="10746" max="10750" width="0" style="10" hidden="1" customWidth="1"/>
    <col min="10751" max="10751" width="16.28515625" style="10" customWidth="1"/>
    <col min="10752" max="10757" width="0" style="10" hidden="1" customWidth="1"/>
    <col min="10758" max="10758" width="16.7109375" style="10" customWidth="1"/>
    <col min="10759" max="10759" width="16.28515625" style="10" customWidth="1"/>
    <col min="10760" max="10764" width="0" style="10" hidden="1" customWidth="1"/>
    <col min="10765" max="10765" width="17.140625" style="10" customWidth="1"/>
    <col min="10766" max="10771" width="0" style="10" hidden="1" customWidth="1"/>
    <col min="10772" max="10772" width="16.28515625" style="10" customWidth="1"/>
    <col min="10773" max="10773" width="1.7109375" style="10" customWidth="1"/>
    <col min="10774" max="10774" width="12.7109375" style="10" customWidth="1"/>
    <col min="10775" max="10775" width="11.28515625" style="10" bestFit="1" customWidth="1"/>
    <col min="10776" max="10787" width="8.7109375" style="10" customWidth="1"/>
    <col min="10788" max="10788" width="10.28515625" style="10" customWidth="1"/>
    <col min="10789" max="10789" width="9.28515625" style="10" customWidth="1"/>
    <col min="10790" max="10790" width="7.7109375" style="10" customWidth="1"/>
    <col min="10791" max="10791" width="7.28515625" style="10" customWidth="1"/>
    <col min="10792" max="10792" width="3.7109375" style="10" customWidth="1"/>
    <col min="10793" max="10796" width="3.140625" style="10" customWidth="1"/>
    <col min="10797" max="10797" width="4" style="10" customWidth="1"/>
    <col min="10798" max="10798" width="3.28515625" style="10" customWidth="1"/>
    <col min="10799" max="10801" width="3.140625" style="10" customWidth="1"/>
    <col min="10802" max="10802" width="9.28515625" style="10" customWidth="1"/>
    <col min="10803" max="10804" width="3.140625" style="10" customWidth="1"/>
    <col min="10805" max="10847" width="1.7109375" style="10" customWidth="1"/>
    <col min="10848" max="10994" width="3" style="10"/>
    <col min="10995" max="10995" width="0.85546875" style="10" customWidth="1"/>
    <col min="10996" max="10996" width="1" style="10" customWidth="1"/>
    <col min="10997" max="10997" width="1.28515625" style="10" customWidth="1"/>
    <col min="10998" max="10998" width="50.5703125" style="10" customWidth="1"/>
    <col min="10999" max="10999" width="4.7109375" style="10" customWidth="1"/>
    <col min="11000" max="11000" width="5.7109375" style="10" customWidth="1"/>
    <col min="11001" max="11001" width="20.5703125" style="10" customWidth="1"/>
    <col min="11002" max="11006" width="0" style="10" hidden="1" customWidth="1"/>
    <col min="11007" max="11007" width="16.28515625" style="10" customWidth="1"/>
    <col min="11008" max="11013" width="0" style="10" hidden="1" customWidth="1"/>
    <col min="11014" max="11014" width="16.7109375" style="10" customWidth="1"/>
    <col min="11015" max="11015" width="16.28515625" style="10" customWidth="1"/>
    <col min="11016" max="11020" width="0" style="10" hidden="1" customWidth="1"/>
    <col min="11021" max="11021" width="17.140625" style="10" customWidth="1"/>
    <col min="11022" max="11027" width="0" style="10" hidden="1" customWidth="1"/>
    <col min="11028" max="11028" width="16.28515625" style="10" customWidth="1"/>
    <col min="11029" max="11029" width="1.7109375" style="10" customWidth="1"/>
    <col min="11030" max="11030" width="12.7109375" style="10" customWidth="1"/>
    <col min="11031" max="11031" width="11.28515625" style="10" bestFit="1" customWidth="1"/>
    <col min="11032" max="11043" width="8.7109375" style="10" customWidth="1"/>
    <col min="11044" max="11044" width="10.28515625" style="10" customWidth="1"/>
    <col min="11045" max="11045" width="9.28515625" style="10" customWidth="1"/>
    <col min="11046" max="11046" width="7.7109375" style="10" customWidth="1"/>
    <col min="11047" max="11047" width="7.28515625" style="10" customWidth="1"/>
    <col min="11048" max="11048" width="3.7109375" style="10" customWidth="1"/>
    <col min="11049" max="11052" width="3.140625" style="10" customWidth="1"/>
    <col min="11053" max="11053" width="4" style="10" customWidth="1"/>
    <col min="11054" max="11054" width="3.28515625" style="10" customWidth="1"/>
    <col min="11055" max="11057" width="3.140625" style="10" customWidth="1"/>
    <col min="11058" max="11058" width="9.28515625" style="10" customWidth="1"/>
    <col min="11059" max="11060" width="3.140625" style="10" customWidth="1"/>
    <col min="11061" max="11103" width="1.7109375" style="10" customWidth="1"/>
    <col min="11104" max="11250" width="3" style="10"/>
    <col min="11251" max="11251" width="0.85546875" style="10" customWidth="1"/>
    <col min="11252" max="11252" width="1" style="10" customWidth="1"/>
    <col min="11253" max="11253" width="1.28515625" style="10" customWidth="1"/>
    <col min="11254" max="11254" width="50.5703125" style="10" customWidth="1"/>
    <col min="11255" max="11255" width="4.7109375" style="10" customWidth="1"/>
    <col min="11256" max="11256" width="5.7109375" style="10" customWidth="1"/>
    <col min="11257" max="11257" width="20.5703125" style="10" customWidth="1"/>
    <col min="11258" max="11262" width="0" style="10" hidden="1" customWidth="1"/>
    <col min="11263" max="11263" width="16.28515625" style="10" customWidth="1"/>
    <col min="11264" max="11269" width="0" style="10" hidden="1" customWidth="1"/>
    <col min="11270" max="11270" width="16.7109375" style="10" customWidth="1"/>
    <col min="11271" max="11271" width="16.28515625" style="10" customWidth="1"/>
    <col min="11272" max="11276" width="0" style="10" hidden="1" customWidth="1"/>
    <col min="11277" max="11277" width="17.140625" style="10" customWidth="1"/>
    <col min="11278" max="11283" width="0" style="10" hidden="1" customWidth="1"/>
    <col min="11284" max="11284" width="16.28515625" style="10" customWidth="1"/>
    <col min="11285" max="11285" width="1.7109375" style="10" customWidth="1"/>
    <col min="11286" max="11286" width="12.7109375" style="10" customWidth="1"/>
    <col min="11287" max="11287" width="11.28515625" style="10" bestFit="1" customWidth="1"/>
    <col min="11288" max="11299" width="8.7109375" style="10" customWidth="1"/>
    <col min="11300" max="11300" width="10.28515625" style="10" customWidth="1"/>
    <col min="11301" max="11301" width="9.28515625" style="10" customWidth="1"/>
    <col min="11302" max="11302" width="7.7109375" style="10" customWidth="1"/>
    <col min="11303" max="11303" width="7.28515625" style="10" customWidth="1"/>
    <col min="11304" max="11304" width="3.7109375" style="10" customWidth="1"/>
    <col min="11305" max="11308" width="3.140625" style="10" customWidth="1"/>
    <col min="11309" max="11309" width="4" style="10" customWidth="1"/>
    <col min="11310" max="11310" width="3.28515625" style="10" customWidth="1"/>
    <col min="11311" max="11313" width="3.140625" style="10" customWidth="1"/>
    <col min="11314" max="11314" width="9.28515625" style="10" customWidth="1"/>
    <col min="11315" max="11316" width="3.140625" style="10" customWidth="1"/>
    <col min="11317" max="11359" width="1.7109375" style="10" customWidth="1"/>
    <col min="11360" max="11506" width="3" style="10"/>
    <col min="11507" max="11507" width="0.85546875" style="10" customWidth="1"/>
    <col min="11508" max="11508" width="1" style="10" customWidth="1"/>
    <col min="11509" max="11509" width="1.28515625" style="10" customWidth="1"/>
    <col min="11510" max="11510" width="50.5703125" style="10" customWidth="1"/>
    <col min="11511" max="11511" width="4.7109375" style="10" customWidth="1"/>
    <col min="11512" max="11512" width="5.7109375" style="10" customWidth="1"/>
    <col min="11513" max="11513" width="20.5703125" style="10" customWidth="1"/>
    <col min="11514" max="11518" width="0" style="10" hidden="1" customWidth="1"/>
    <col min="11519" max="11519" width="16.28515625" style="10" customWidth="1"/>
    <col min="11520" max="11525" width="0" style="10" hidden="1" customWidth="1"/>
    <col min="11526" max="11526" width="16.7109375" style="10" customWidth="1"/>
    <col min="11527" max="11527" width="16.28515625" style="10" customWidth="1"/>
    <col min="11528" max="11532" width="0" style="10" hidden="1" customWidth="1"/>
    <col min="11533" max="11533" width="17.140625" style="10" customWidth="1"/>
    <col min="11534" max="11539" width="0" style="10" hidden="1" customWidth="1"/>
    <col min="11540" max="11540" width="16.28515625" style="10" customWidth="1"/>
    <col min="11541" max="11541" width="1.7109375" style="10" customWidth="1"/>
    <col min="11542" max="11542" width="12.7109375" style="10" customWidth="1"/>
    <col min="11543" max="11543" width="11.28515625" style="10" bestFit="1" customWidth="1"/>
    <col min="11544" max="11555" width="8.7109375" style="10" customWidth="1"/>
    <col min="11556" max="11556" width="10.28515625" style="10" customWidth="1"/>
    <col min="11557" max="11557" width="9.28515625" style="10" customWidth="1"/>
    <col min="11558" max="11558" width="7.7109375" style="10" customWidth="1"/>
    <col min="11559" max="11559" width="7.28515625" style="10" customWidth="1"/>
    <col min="11560" max="11560" width="3.7109375" style="10" customWidth="1"/>
    <col min="11561" max="11564" width="3.140625" style="10" customWidth="1"/>
    <col min="11565" max="11565" width="4" style="10" customWidth="1"/>
    <col min="11566" max="11566" width="3.28515625" style="10" customWidth="1"/>
    <col min="11567" max="11569" width="3.140625" style="10" customWidth="1"/>
    <col min="11570" max="11570" width="9.28515625" style="10" customWidth="1"/>
    <col min="11571" max="11572" width="3.140625" style="10" customWidth="1"/>
    <col min="11573" max="11615" width="1.7109375" style="10" customWidth="1"/>
    <col min="11616" max="11762" width="3" style="10"/>
    <col min="11763" max="11763" width="0.85546875" style="10" customWidth="1"/>
    <col min="11764" max="11764" width="1" style="10" customWidth="1"/>
    <col min="11765" max="11765" width="1.28515625" style="10" customWidth="1"/>
    <col min="11766" max="11766" width="50.5703125" style="10" customWidth="1"/>
    <col min="11767" max="11767" width="4.7109375" style="10" customWidth="1"/>
    <col min="11768" max="11768" width="5.7109375" style="10" customWidth="1"/>
    <col min="11769" max="11769" width="20.5703125" style="10" customWidth="1"/>
    <col min="11770" max="11774" width="0" style="10" hidden="1" customWidth="1"/>
    <col min="11775" max="11775" width="16.28515625" style="10" customWidth="1"/>
    <col min="11776" max="11781" width="0" style="10" hidden="1" customWidth="1"/>
    <col min="11782" max="11782" width="16.7109375" style="10" customWidth="1"/>
    <col min="11783" max="11783" width="16.28515625" style="10" customWidth="1"/>
    <col min="11784" max="11788" width="0" style="10" hidden="1" customWidth="1"/>
    <col min="11789" max="11789" width="17.140625" style="10" customWidth="1"/>
    <col min="11790" max="11795" width="0" style="10" hidden="1" customWidth="1"/>
    <col min="11796" max="11796" width="16.28515625" style="10" customWidth="1"/>
    <col min="11797" max="11797" width="1.7109375" style="10" customWidth="1"/>
    <col min="11798" max="11798" width="12.7109375" style="10" customWidth="1"/>
    <col min="11799" max="11799" width="11.28515625" style="10" bestFit="1" customWidth="1"/>
    <col min="11800" max="11811" width="8.7109375" style="10" customWidth="1"/>
    <col min="11812" max="11812" width="10.28515625" style="10" customWidth="1"/>
    <col min="11813" max="11813" width="9.28515625" style="10" customWidth="1"/>
    <col min="11814" max="11814" width="7.7109375" style="10" customWidth="1"/>
    <col min="11815" max="11815" width="7.28515625" style="10" customWidth="1"/>
    <col min="11816" max="11816" width="3.7109375" style="10" customWidth="1"/>
    <col min="11817" max="11820" width="3.140625" style="10" customWidth="1"/>
    <col min="11821" max="11821" width="4" style="10" customWidth="1"/>
    <col min="11822" max="11822" width="3.28515625" style="10" customWidth="1"/>
    <col min="11823" max="11825" width="3.140625" style="10" customWidth="1"/>
    <col min="11826" max="11826" width="9.28515625" style="10" customWidth="1"/>
    <col min="11827" max="11828" width="3.140625" style="10" customWidth="1"/>
    <col min="11829" max="11871" width="1.7109375" style="10" customWidth="1"/>
    <col min="11872" max="12018" width="3" style="10"/>
    <col min="12019" max="12019" width="0.85546875" style="10" customWidth="1"/>
    <col min="12020" max="12020" width="1" style="10" customWidth="1"/>
    <col min="12021" max="12021" width="1.28515625" style="10" customWidth="1"/>
    <col min="12022" max="12022" width="50.5703125" style="10" customWidth="1"/>
    <col min="12023" max="12023" width="4.7109375" style="10" customWidth="1"/>
    <col min="12024" max="12024" width="5.7109375" style="10" customWidth="1"/>
    <col min="12025" max="12025" width="20.5703125" style="10" customWidth="1"/>
    <col min="12026" max="12030" width="0" style="10" hidden="1" customWidth="1"/>
    <col min="12031" max="12031" width="16.28515625" style="10" customWidth="1"/>
    <col min="12032" max="12037" width="0" style="10" hidden="1" customWidth="1"/>
    <col min="12038" max="12038" width="16.7109375" style="10" customWidth="1"/>
    <col min="12039" max="12039" width="16.28515625" style="10" customWidth="1"/>
    <col min="12040" max="12044" width="0" style="10" hidden="1" customWidth="1"/>
    <col min="12045" max="12045" width="17.140625" style="10" customWidth="1"/>
    <col min="12046" max="12051" width="0" style="10" hidden="1" customWidth="1"/>
    <col min="12052" max="12052" width="16.28515625" style="10" customWidth="1"/>
    <col min="12053" max="12053" width="1.7109375" style="10" customWidth="1"/>
    <col min="12054" max="12054" width="12.7109375" style="10" customWidth="1"/>
    <col min="12055" max="12055" width="11.28515625" style="10" bestFit="1" customWidth="1"/>
    <col min="12056" max="12067" width="8.7109375" style="10" customWidth="1"/>
    <col min="12068" max="12068" width="10.28515625" style="10" customWidth="1"/>
    <col min="12069" max="12069" width="9.28515625" style="10" customWidth="1"/>
    <col min="12070" max="12070" width="7.7109375" style="10" customWidth="1"/>
    <col min="12071" max="12071" width="7.28515625" style="10" customWidth="1"/>
    <col min="12072" max="12072" width="3.7109375" style="10" customWidth="1"/>
    <col min="12073" max="12076" width="3.140625" style="10" customWidth="1"/>
    <col min="12077" max="12077" width="4" style="10" customWidth="1"/>
    <col min="12078" max="12078" width="3.28515625" style="10" customWidth="1"/>
    <col min="12079" max="12081" width="3.140625" style="10" customWidth="1"/>
    <col min="12082" max="12082" width="9.28515625" style="10" customWidth="1"/>
    <col min="12083" max="12084" width="3.140625" style="10" customWidth="1"/>
    <col min="12085" max="12127" width="1.7109375" style="10" customWidth="1"/>
    <col min="12128" max="12274" width="3" style="10"/>
    <col min="12275" max="12275" width="0.85546875" style="10" customWidth="1"/>
    <col min="12276" max="12276" width="1" style="10" customWidth="1"/>
    <col min="12277" max="12277" width="1.28515625" style="10" customWidth="1"/>
    <col min="12278" max="12278" width="50.5703125" style="10" customWidth="1"/>
    <col min="12279" max="12279" width="4.7109375" style="10" customWidth="1"/>
    <col min="12280" max="12280" width="5.7109375" style="10" customWidth="1"/>
    <col min="12281" max="12281" width="20.5703125" style="10" customWidth="1"/>
    <col min="12282" max="12286" width="0" style="10" hidden="1" customWidth="1"/>
    <col min="12287" max="12287" width="16.28515625" style="10" customWidth="1"/>
    <col min="12288" max="12293" width="0" style="10" hidden="1" customWidth="1"/>
    <col min="12294" max="12294" width="16.7109375" style="10" customWidth="1"/>
    <col min="12295" max="12295" width="16.28515625" style="10" customWidth="1"/>
    <col min="12296" max="12300" width="0" style="10" hidden="1" customWidth="1"/>
    <col min="12301" max="12301" width="17.140625" style="10" customWidth="1"/>
    <col min="12302" max="12307" width="0" style="10" hidden="1" customWidth="1"/>
    <col min="12308" max="12308" width="16.28515625" style="10" customWidth="1"/>
    <col min="12309" max="12309" width="1.7109375" style="10" customWidth="1"/>
    <col min="12310" max="12310" width="12.7109375" style="10" customWidth="1"/>
    <col min="12311" max="12311" width="11.28515625" style="10" bestFit="1" customWidth="1"/>
    <col min="12312" max="12323" width="8.7109375" style="10" customWidth="1"/>
    <col min="12324" max="12324" width="10.28515625" style="10" customWidth="1"/>
    <col min="12325" max="12325" width="9.28515625" style="10" customWidth="1"/>
    <col min="12326" max="12326" width="7.7109375" style="10" customWidth="1"/>
    <col min="12327" max="12327" width="7.28515625" style="10" customWidth="1"/>
    <col min="12328" max="12328" width="3.7109375" style="10" customWidth="1"/>
    <col min="12329" max="12332" width="3.140625" style="10" customWidth="1"/>
    <col min="12333" max="12333" width="4" style="10" customWidth="1"/>
    <col min="12334" max="12334" width="3.28515625" style="10" customWidth="1"/>
    <col min="12335" max="12337" width="3.140625" style="10" customWidth="1"/>
    <col min="12338" max="12338" width="9.28515625" style="10" customWidth="1"/>
    <col min="12339" max="12340" width="3.140625" style="10" customWidth="1"/>
    <col min="12341" max="12383" width="1.7109375" style="10" customWidth="1"/>
    <col min="12384" max="12530" width="3" style="10"/>
    <col min="12531" max="12531" width="0.85546875" style="10" customWidth="1"/>
    <col min="12532" max="12532" width="1" style="10" customWidth="1"/>
    <col min="12533" max="12533" width="1.28515625" style="10" customWidth="1"/>
    <col min="12534" max="12534" width="50.5703125" style="10" customWidth="1"/>
    <col min="12535" max="12535" width="4.7109375" style="10" customWidth="1"/>
    <col min="12536" max="12536" width="5.7109375" style="10" customWidth="1"/>
    <col min="12537" max="12537" width="20.5703125" style="10" customWidth="1"/>
    <col min="12538" max="12542" width="0" style="10" hidden="1" customWidth="1"/>
    <col min="12543" max="12543" width="16.28515625" style="10" customWidth="1"/>
    <col min="12544" max="12549" width="0" style="10" hidden="1" customWidth="1"/>
    <col min="12550" max="12550" width="16.7109375" style="10" customWidth="1"/>
    <col min="12551" max="12551" width="16.28515625" style="10" customWidth="1"/>
    <col min="12552" max="12556" width="0" style="10" hidden="1" customWidth="1"/>
    <col min="12557" max="12557" width="17.140625" style="10" customWidth="1"/>
    <col min="12558" max="12563" width="0" style="10" hidden="1" customWidth="1"/>
    <col min="12564" max="12564" width="16.28515625" style="10" customWidth="1"/>
    <col min="12565" max="12565" width="1.7109375" style="10" customWidth="1"/>
    <col min="12566" max="12566" width="12.7109375" style="10" customWidth="1"/>
    <col min="12567" max="12567" width="11.28515625" style="10" bestFit="1" customWidth="1"/>
    <col min="12568" max="12579" width="8.7109375" style="10" customWidth="1"/>
    <col min="12580" max="12580" width="10.28515625" style="10" customWidth="1"/>
    <col min="12581" max="12581" width="9.28515625" style="10" customWidth="1"/>
    <col min="12582" max="12582" width="7.7109375" style="10" customWidth="1"/>
    <col min="12583" max="12583" width="7.28515625" style="10" customWidth="1"/>
    <col min="12584" max="12584" width="3.7109375" style="10" customWidth="1"/>
    <col min="12585" max="12588" width="3.140625" style="10" customWidth="1"/>
    <col min="12589" max="12589" width="4" style="10" customWidth="1"/>
    <col min="12590" max="12590" width="3.28515625" style="10" customWidth="1"/>
    <col min="12591" max="12593" width="3.140625" style="10" customWidth="1"/>
    <col min="12594" max="12594" width="9.28515625" style="10" customWidth="1"/>
    <col min="12595" max="12596" width="3.140625" style="10" customWidth="1"/>
    <col min="12597" max="12639" width="1.7109375" style="10" customWidth="1"/>
    <col min="12640" max="12786" width="3" style="10"/>
    <col min="12787" max="12787" width="0.85546875" style="10" customWidth="1"/>
    <col min="12788" max="12788" width="1" style="10" customWidth="1"/>
    <col min="12789" max="12789" width="1.28515625" style="10" customWidth="1"/>
    <col min="12790" max="12790" width="50.5703125" style="10" customWidth="1"/>
    <col min="12791" max="12791" width="4.7109375" style="10" customWidth="1"/>
    <col min="12792" max="12792" width="5.7109375" style="10" customWidth="1"/>
    <col min="12793" max="12793" width="20.5703125" style="10" customWidth="1"/>
    <col min="12794" max="12798" width="0" style="10" hidden="1" customWidth="1"/>
    <col min="12799" max="12799" width="16.28515625" style="10" customWidth="1"/>
    <col min="12800" max="12805" width="0" style="10" hidden="1" customWidth="1"/>
    <col min="12806" max="12806" width="16.7109375" style="10" customWidth="1"/>
    <col min="12807" max="12807" width="16.28515625" style="10" customWidth="1"/>
    <col min="12808" max="12812" width="0" style="10" hidden="1" customWidth="1"/>
    <col min="12813" max="12813" width="17.140625" style="10" customWidth="1"/>
    <col min="12814" max="12819" width="0" style="10" hidden="1" customWidth="1"/>
    <col min="12820" max="12820" width="16.28515625" style="10" customWidth="1"/>
    <col min="12821" max="12821" width="1.7109375" style="10" customWidth="1"/>
    <col min="12822" max="12822" width="12.7109375" style="10" customWidth="1"/>
    <col min="12823" max="12823" width="11.28515625" style="10" bestFit="1" customWidth="1"/>
    <col min="12824" max="12835" width="8.7109375" style="10" customWidth="1"/>
    <col min="12836" max="12836" width="10.28515625" style="10" customWidth="1"/>
    <col min="12837" max="12837" width="9.28515625" style="10" customWidth="1"/>
    <col min="12838" max="12838" width="7.7109375" style="10" customWidth="1"/>
    <col min="12839" max="12839" width="7.28515625" style="10" customWidth="1"/>
    <col min="12840" max="12840" width="3.7109375" style="10" customWidth="1"/>
    <col min="12841" max="12844" width="3.140625" style="10" customWidth="1"/>
    <col min="12845" max="12845" width="4" style="10" customWidth="1"/>
    <col min="12846" max="12846" width="3.28515625" style="10" customWidth="1"/>
    <col min="12847" max="12849" width="3.140625" style="10" customWidth="1"/>
    <col min="12850" max="12850" width="9.28515625" style="10" customWidth="1"/>
    <col min="12851" max="12852" width="3.140625" style="10" customWidth="1"/>
    <col min="12853" max="12895" width="1.7109375" style="10" customWidth="1"/>
    <col min="12896" max="13042" width="3" style="10"/>
    <col min="13043" max="13043" width="0.85546875" style="10" customWidth="1"/>
    <col min="13044" max="13044" width="1" style="10" customWidth="1"/>
    <col min="13045" max="13045" width="1.28515625" style="10" customWidth="1"/>
    <col min="13046" max="13046" width="50.5703125" style="10" customWidth="1"/>
    <col min="13047" max="13047" width="4.7109375" style="10" customWidth="1"/>
    <col min="13048" max="13048" width="5.7109375" style="10" customWidth="1"/>
    <col min="13049" max="13049" width="20.5703125" style="10" customWidth="1"/>
    <col min="13050" max="13054" width="0" style="10" hidden="1" customWidth="1"/>
    <col min="13055" max="13055" width="16.28515625" style="10" customWidth="1"/>
    <col min="13056" max="13061" width="0" style="10" hidden="1" customWidth="1"/>
    <col min="13062" max="13062" width="16.7109375" style="10" customWidth="1"/>
    <col min="13063" max="13063" width="16.28515625" style="10" customWidth="1"/>
    <col min="13064" max="13068" width="0" style="10" hidden="1" customWidth="1"/>
    <col min="13069" max="13069" width="17.140625" style="10" customWidth="1"/>
    <col min="13070" max="13075" width="0" style="10" hidden="1" customWidth="1"/>
    <col min="13076" max="13076" width="16.28515625" style="10" customWidth="1"/>
    <col min="13077" max="13077" width="1.7109375" style="10" customWidth="1"/>
    <col min="13078" max="13078" width="12.7109375" style="10" customWidth="1"/>
    <col min="13079" max="13079" width="11.28515625" style="10" bestFit="1" customWidth="1"/>
    <col min="13080" max="13091" width="8.7109375" style="10" customWidth="1"/>
    <col min="13092" max="13092" width="10.28515625" style="10" customWidth="1"/>
    <col min="13093" max="13093" width="9.28515625" style="10" customWidth="1"/>
    <col min="13094" max="13094" width="7.7109375" style="10" customWidth="1"/>
    <col min="13095" max="13095" width="7.28515625" style="10" customWidth="1"/>
    <col min="13096" max="13096" width="3.7109375" style="10" customWidth="1"/>
    <col min="13097" max="13100" width="3.140625" style="10" customWidth="1"/>
    <col min="13101" max="13101" width="4" style="10" customWidth="1"/>
    <col min="13102" max="13102" width="3.28515625" style="10" customWidth="1"/>
    <col min="13103" max="13105" width="3.140625" style="10" customWidth="1"/>
    <col min="13106" max="13106" width="9.28515625" style="10" customWidth="1"/>
    <col min="13107" max="13108" width="3.140625" style="10" customWidth="1"/>
    <col min="13109" max="13151" width="1.7109375" style="10" customWidth="1"/>
    <col min="13152" max="13298" width="3" style="10"/>
    <col min="13299" max="13299" width="0.85546875" style="10" customWidth="1"/>
    <col min="13300" max="13300" width="1" style="10" customWidth="1"/>
    <col min="13301" max="13301" width="1.28515625" style="10" customWidth="1"/>
    <col min="13302" max="13302" width="50.5703125" style="10" customWidth="1"/>
    <col min="13303" max="13303" width="4.7109375" style="10" customWidth="1"/>
    <col min="13304" max="13304" width="5.7109375" style="10" customWidth="1"/>
    <col min="13305" max="13305" width="20.5703125" style="10" customWidth="1"/>
    <col min="13306" max="13310" width="0" style="10" hidden="1" customWidth="1"/>
    <col min="13311" max="13311" width="16.28515625" style="10" customWidth="1"/>
    <col min="13312" max="13317" width="0" style="10" hidden="1" customWidth="1"/>
    <col min="13318" max="13318" width="16.7109375" style="10" customWidth="1"/>
    <col min="13319" max="13319" width="16.28515625" style="10" customWidth="1"/>
    <col min="13320" max="13324" width="0" style="10" hidden="1" customWidth="1"/>
    <col min="13325" max="13325" width="17.140625" style="10" customWidth="1"/>
    <col min="13326" max="13331" width="0" style="10" hidden="1" customWidth="1"/>
    <col min="13332" max="13332" width="16.28515625" style="10" customWidth="1"/>
    <col min="13333" max="13333" width="1.7109375" style="10" customWidth="1"/>
    <col min="13334" max="13334" width="12.7109375" style="10" customWidth="1"/>
    <col min="13335" max="13335" width="11.28515625" style="10" bestFit="1" customWidth="1"/>
    <col min="13336" max="13347" width="8.7109375" style="10" customWidth="1"/>
    <col min="13348" max="13348" width="10.28515625" style="10" customWidth="1"/>
    <col min="13349" max="13349" width="9.28515625" style="10" customWidth="1"/>
    <col min="13350" max="13350" width="7.7109375" style="10" customWidth="1"/>
    <col min="13351" max="13351" width="7.28515625" style="10" customWidth="1"/>
    <col min="13352" max="13352" width="3.7109375" style="10" customWidth="1"/>
    <col min="13353" max="13356" width="3.140625" style="10" customWidth="1"/>
    <col min="13357" max="13357" width="4" style="10" customWidth="1"/>
    <col min="13358" max="13358" width="3.28515625" style="10" customWidth="1"/>
    <col min="13359" max="13361" width="3.140625" style="10" customWidth="1"/>
    <col min="13362" max="13362" width="9.28515625" style="10" customWidth="1"/>
    <col min="13363" max="13364" width="3.140625" style="10" customWidth="1"/>
    <col min="13365" max="13407" width="1.7109375" style="10" customWidth="1"/>
    <col min="13408" max="13554" width="3" style="10"/>
    <col min="13555" max="13555" width="0.85546875" style="10" customWidth="1"/>
    <col min="13556" max="13556" width="1" style="10" customWidth="1"/>
    <col min="13557" max="13557" width="1.28515625" style="10" customWidth="1"/>
    <col min="13558" max="13558" width="50.5703125" style="10" customWidth="1"/>
    <col min="13559" max="13559" width="4.7109375" style="10" customWidth="1"/>
    <col min="13560" max="13560" width="5.7109375" style="10" customWidth="1"/>
    <col min="13561" max="13561" width="20.5703125" style="10" customWidth="1"/>
    <col min="13562" max="13566" width="0" style="10" hidden="1" customWidth="1"/>
    <col min="13567" max="13567" width="16.28515625" style="10" customWidth="1"/>
    <col min="13568" max="13573" width="0" style="10" hidden="1" customWidth="1"/>
    <col min="13574" max="13574" width="16.7109375" style="10" customWidth="1"/>
    <col min="13575" max="13575" width="16.28515625" style="10" customWidth="1"/>
    <col min="13576" max="13580" width="0" style="10" hidden="1" customWidth="1"/>
    <col min="13581" max="13581" width="17.140625" style="10" customWidth="1"/>
    <col min="13582" max="13587" width="0" style="10" hidden="1" customWidth="1"/>
    <col min="13588" max="13588" width="16.28515625" style="10" customWidth="1"/>
    <col min="13589" max="13589" width="1.7109375" style="10" customWidth="1"/>
    <col min="13590" max="13590" width="12.7109375" style="10" customWidth="1"/>
    <col min="13591" max="13591" width="11.28515625" style="10" bestFit="1" customWidth="1"/>
    <col min="13592" max="13603" width="8.7109375" style="10" customWidth="1"/>
    <col min="13604" max="13604" width="10.28515625" style="10" customWidth="1"/>
    <col min="13605" max="13605" width="9.28515625" style="10" customWidth="1"/>
    <col min="13606" max="13606" width="7.7109375" style="10" customWidth="1"/>
    <col min="13607" max="13607" width="7.28515625" style="10" customWidth="1"/>
    <col min="13608" max="13608" width="3.7109375" style="10" customWidth="1"/>
    <col min="13609" max="13612" width="3.140625" style="10" customWidth="1"/>
    <col min="13613" max="13613" width="4" style="10" customWidth="1"/>
    <col min="13614" max="13614" width="3.28515625" style="10" customWidth="1"/>
    <col min="13615" max="13617" width="3.140625" style="10" customWidth="1"/>
    <col min="13618" max="13618" width="9.28515625" style="10" customWidth="1"/>
    <col min="13619" max="13620" width="3.140625" style="10" customWidth="1"/>
    <col min="13621" max="13663" width="1.7109375" style="10" customWidth="1"/>
    <col min="13664" max="13810" width="3" style="10"/>
    <col min="13811" max="13811" width="0.85546875" style="10" customWidth="1"/>
    <col min="13812" max="13812" width="1" style="10" customWidth="1"/>
    <col min="13813" max="13813" width="1.28515625" style="10" customWidth="1"/>
    <col min="13814" max="13814" width="50.5703125" style="10" customWidth="1"/>
    <col min="13815" max="13815" width="4.7109375" style="10" customWidth="1"/>
    <col min="13816" max="13816" width="5.7109375" style="10" customWidth="1"/>
    <col min="13817" max="13817" width="20.5703125" style="10" customWidth="1"/>
    <col min="13818" max="13822" width="0" style="10" hidden="1" customWidth="1"/>
    <col min="13823" max="13823" width="16.28515625" style="10" customWidth="1"/>
    <col min="13824" max="13829" width="0" style="10" hidden="1" customWidth="1"/>
    <col min="13830" max="13830" width="16.7109375" style="10" customWidth="1"/>
    <col min="13831" max="13831" width="16.28515625" style="10" customWidth="1"/>
    <col min="13832" max="13836" width="0" style="10" hidden="1" customWidth="1"/>
    <col min="13837" max="13837" width="17.140625" style="10" customWidth="1"/>
    <col min="13838" max="13843" width="0" style="10" hidden="1" customWidth="1"/>
    <col min="13844" max="13844" width="16.28515625" style="10" customWidth="1"/>
    <col min="13845" max="13845" width="1.7109375" style="10" customWidth="1"/>
    <col min="13846" max="13846" width="12.7109375" style="10" customWidth="1"/>
    <col min="13847" max="13847" width="11.28515625" style="10" bestFit="1" customWidth="1"/>
    <col min="13848" max="13859" width="8.7109375" style="10" customWidth="1"/>
    <col min="13860" max="13860" width="10.28515625" style="10" customWidth="1"/>
    <col min="13861" max="13861" width="9.28515625" style="10" customWidth="1"/>
    <col min="13862" max="13862" width="7.7109375" style="10" customWidth="1"/>
    <col min="13863" max="13863" width="7.28515625" style="10" customWidth="1"/>
    <col min="13864" max="13864" width="3.7109375" style="10" customWidth="1"/>
    <col min="13865" max="13868" width="3.140625" style="10" customWidth="1"/>
    <col min="13869" max="13869" width="4" style="10" customWidth="1"/>
    <col min="13870" max="13870" width="3.28515625" style="10" customWidth="1"/>
    <col min="13871" max="13873" width="3.140625" style="10" customWidth="1"/>
    <col min="13874" max="13874" width="9.28515625" style="10" customWidth="1"/>
    <col min="13875" max="13876" width="3.140625" style="10" customWidth="1"/>
    <col min="13877" max="13919" width="1.7109375" style="10" customWidth="1"/>
    <col min="13920" max="14066" width="3" style="10"/>
    <col min="14067" max="14067" width="0.85546875" style="10" customWidth="1"/>
    <col min="14068" max="14068" width="1" style="10" customWidth="1"/>
    <col min="14069" max="14069" width="1.28515625" style="10" customWidth="1"/>
    <col min="14070" max="14070" width="50.5703125" style="10" customWidth="1"/>
    <col min="14071" max="14071" width="4.7109375" style="10" customWidth="1"/>
    <col min="14072" max="14072" width="5.7109375" style="10" customWidth="1"/>
    <col min="14073" max="14073" width="20.5703125" style="10" customWidth="1"/>
    <col min="14074" max="14078" width="0" style="10" hidden="1" customWidth="1"/>
    <col min="14079" max="14079" width="16.28515625" style="10" customWidth="1"/>
    <col min="14080" max="14085" width="0" style="10" hidden="1" customWidth="1"/>
    <col min="14086" max="14086" width="16.7109375" style="10" customWidth="1"/>
    <col min="14087" max="14087" width="16.28515625" style="10" customWidth="1"/>
    <col min="14088" max="14092" width="0" style="10" hidden="1" customWidth="1"/>
    <col min="14093" max="14093" width="17.140625" style="10" customWidth="1"/>
    <col min="14094" max="14099" width="0" style="10" hidden="1" customWidth="1"/>
    <col min="14100" max="14100" width="16.28515625" style="10" customWidth="1"/>
    <col min="14101" max="14101" width="1.7109375" style="10" customWidth="1"/>
    <col min="14102" max="14102" width="12.7109375" style="10" customWidth="1"/>
    <col min="14103" max="14103" width="11.28515625" style="10" bestFit="1" customWidth="1"/>
    <col min="14104" max="14115" width="8.7109375" style="10" customWidth="1"/>
    <col min="14116" max="14116" width="10.28515625" style="10" customWidth="1"/>
    <col min="14117" max="14117" width="9.28515625" style="10" customWidth="1"/>
    <col min="14118" max="14118" width="7.7109375" style="10" customWidth="1"/>
    <col min="14119" max="14119" width="7.28515625" style="10" customWidth="1"/>
    <col min="14120" max="14120" width="3.7109375" style="10" customWidth="1"/>
    <col min="14121" max="14124" width="3.140625" style="10" customWidth="1"/>
    <col min="14125" max="14125" width="4" style="10" customWidth="1"/>
    <col min="14126" max="14126" width="3.28515625" style="10" customWidth="1"/>
    <col min="14127" max="14129" width="3.140625" style="10" customWidth="1"/>
    <col min="14130" max="14130" width="9.28515625" style="10" customWidth="1"/>
    <col min="14131" max="14132" width="3.140625" style="10" customWidth="1"/>
    <col min="14133" max="14175" width="1.7109375" style="10" customWidth="1"/>
    <col min="14176" max="14322" width="3" style="10"/>
    <col min="14323" max="14323" width="0.85546875" style="10" customWidth="1"/>
    <col min="14324" max="14324" width="1" style="10" customWidth="1"/>
    <col min="14325" max="14325" width="1.28515625" style="10" customWidth="1"/>
    <col min="14326" max="14326" width="50.5703125" style="10" customWidth="1"/>
    <col min="14327" max="14327" width="4.7109375" style="10" customWidth="1"/>
    <col min="14328" max="14328" width="5.7109375" style="10" customWidth="1"/>
    <col min="14329" max="14329" width="20.5703125" style="10" customWidth="1"/>
    <col min="14330" max="14334" width="0" style="10" hidden="1" customWidth="1"/>
    <col min="14335" max="14335" width="16.28515625" style="10" customWidth="1"/>
    <col min="14336" max="14341" width="0" style="10" hidden="1" customWidth="1"/>
    <col min="14342" max="14342" width="16.7109375" style="10" customWidth="1"/>
    <col min="14343" max="14343" width="16.28515625" style="10" customWidth="1"/>
    <col min="14344" max="14348" width="0" style="10" hidden="1" customWidth="1"/>
    <col min="14349" max="14349" width="17.140625" style="10" customWidth="1"/>
    <col min="14350" max="14355" width="0" style="10" hidden="1" customWidth="1"/>
    <col min="14356" max="14356" width="16.28515625" style="10" customWidth="1"/>
    <col min="14357" max="14357" width="1.7109375" style="10" customWidth="1"/>
    <col min="14358" max="14358" width="12.7109375" style="10" customWidth="1"/>
    <col min="14359" max="14359" width="11.28515625" style="10" bestFit="1" customWidth="1"/>
    <col min="14360" max="14371" width="8.7109375" style="10" customWidth="1"/>
    <col min="14372" max="14372" width="10.28515625" style="10" customWidth="1"/>
    <col min="14373" max="14373" width="9.28515625" style="10" customWidth="1"/>
    <col min="14374" max="14374" width="7.7109375" style="10" customWidth="1"/>
    <col min="14375" max="14375" width="7.28515625" style="10" customWidth="1"/>
    <col min="14376" max="14376" width="3.7109375" style="10" customWidth="1"/>
    <col min="14377" max="14380" width="3.140625" style="10" customWidth="1"/>
    <col min="14381" max="14381" width="4" style="10" customWidth="1"/>
    <col min="14382" max="14382" width="3.28515625" style="10" customWidth="1"/>
    <col min="14383" max="14385" width="3.140625" style="10" customWidth="1"/>
    <col min="14386" max="14386" width="9.28515625" style="10" customWidth="1"/>
    <col min="14387" max="14388" width="3.140625" style="10" customWidth="1"/>
    <col min="14389" max="14431" width="1.7109375" style="10" customWidth="1"/>
    <col min="14432" max="14578" width="3" style="10"/>
    <col min="14579" max="14579" width="0.85546875" style="10" customWidth="1"/>
    <col min="14580" max="14580" width="1" style="10" customWidth="1"/>
    <col min="14581" max="14581" width="1.28515625" style="10" customWidth="1"/>
    <col min="14582" max="14582" width="50.5703125" style="10" customWidth="1"/>
    <col min="14583" max="14583" width="4.7109375" style="10" customWidth="1"/>
    <col min="14584" max="14584" width="5.7109375" style="10" customWidth="1"/>
    <col min="14585" max="14585" width="20.5703125" style="10" customWidth="1"/>
    <col min="14586" max="14590" width="0" style="10" hidden="1" customWidth="1"/>
    <col min="14591" max="14591" width="16.28515625" style="10" customWidth="1"/>
    <col min="14592" max="14597" width="0" style="10" hidden="1" customWidth="1"/>
    <col min="14598" max="14598" width="16.7109375" style="10" customWidth="1"/>
    <col min="14599" max="14599" width="16.28515625" style="10" customWidth="1"/>
    <col min="14600" max="14604" width="0" style="10" hidden="1" customWidth="1"/>
    <col min="14605" max="14605" width="17.140625" style="10" customWidth="1"/>
    <col min="14606" max="14611" width="0" style="10" hidden="1" customWidth="1"/>
    <col min="14612" max="14612" width="16.28515625" style="10" customWidth="1"/>
    <col min="14613" max="14613" width="1.7109375" style="10" customWidth="1"/>
    <col min="14614" max="14614" width="12.7109375" style="10" customWidth="1"/>
    <col min="14615" max="14615" width="11.28515625" style="10" bestFit="1" customWidth="1"/>
    <col min="14616" max="14627" width="8.7109375" style="10" customWidth="1"/>
    <col min="14628" max="14628" width="10.28515625" style="10" customWidth="1"/>
    <col min="14629" max="14629" width="9.28515625" style="10" customWidth="1"/>
    <col min="14630" max="14630" width="7.7109375" style="10" customWidth="1"/>
    <col min="14631" max="14631" width="7.28515625" style="10" customWidth="1"/>
    <col min="14632" max="14632" width="3.7109375" style="10" customWidth="1"/>
    <col min="14633" max="14636" width="3.140625" style="10" customWidth="1"/>
    <col min="14637" max="14637" width="4" style="10" customWidth="1"/>
    <col min="14638" max="14638" width="3.28515625" style="10" customWidth="1"/>
    <col min="14639" max="14641" width="3.140625" style="10" customWidth="1"/>
    <col min="14642" max="14642" width="9.28515625" style="10" customWidth="1"/>
    <col min="14643" max="14644" width="3.140625" style="10" customWidth="1"/>
    <col min="14645" max="14687" width="1.7109375" style="10" customWidth="1"/>
    <col min="14688" max="14834" width="3" style="10"/>
    <col min="14835" max="14835" width="0.85546875" style="10" customWidth="1"/>
    <col min="14836" max="14836" width="1" style="10" customWidth="1"/>
    <col min="14837" max="14837" width="1.28515625" style="10" customWidth="1"/>
    <col min="14838" max="14838" width="50.5703125" style="10" customWidth="1"/>
    <col min="14839" max="14839" width="4.7109375" style="10" customWidth="1"/>
    <col min="14840" max="14840" width="5.7109375" style="10" customWidth="1"/>
    <col min="14841" max="14841" width="20.5703125" style="10" customWidth="1"/>
    <col min="14842" max="14846" width="0" style="10" hidden="1" customWidth="1"/>
    <col min="14847" max="14847" width="16.28515625" style="10" customWidth="1"/>
    <col min="14848" max="14853" width="0" style="10" hidden="1" customWidth="1"/>
    <col min="14854" max="14854" width="16.7109375" style="10" customWidth="1"/>
    <col min="14855" max="14855" width="16.28515625" style="10" customWidth="1"/>
    <col min="14856" max="14860" width="0" style="10" hidden="1" customWidth="1"/>
    <col min="14861" max="14861" width="17.140625" style="10" customWidth="1"/>
    <col min="14862" max="14867" width="0" style="10" hidden="1" customWidth="1"/>
    <col min="14868" max="14868" width="16.28515625" style="10" customWidth="1"/>
    <col min="14869" max="14869" width="1.7109375" style="10" customWidth="1"/>
    <col min="14870" max="14870" width="12.7109375" style="10" customWidth="1"/>
    <col min="14871" max="14871" width="11.28515625" style="10" bestFit="1" customWidth="1"/>
    <col min="14872" max="14883" width="8.7109375" style="10" customWidth="1"/>
    <col min="14884" max="14884" width="10.28515625" style="10" customWidth="1"/>
    <col min="14885" max="14885" width="9.28515625" style="10" customWidth="1"/>
    <col min="14886" max="14886" width="7.7109375" style="10" customWidth="1"/>
    <col min="14887" max="14887" width="7.28515625" style="10" customWidth="1"/>
    <col min="14888" max="14888" width="3.7109375" style="10" customWidth="1"/>
    <col min="14889" max="14892" width="3.140625" style="10" customWidth="1"/>
    <col min="14893" max="14893" width="4" style="10" customWidth="1"/>
    <col min="14894" max="14894" width="3.28515625" style="10" customWidth="1"/>
    <col min="14895" max="14897" width="3.140625" style="10" customWidth="1"/>
    <col min="14898" max="14898" width="9.28515625" style="10" customWidth="1"/>
    <col min="14899" max="14900" width="3.140625" style="10" customWidth="1"/>
    <col min="14901" max="14943" width="1.7109375" style="10" customWidth="1"/>
    <col min="14944" max="15090" width="3" style="10"/>
    <col min="15091" max="15091" width="0.85546875" style="10" customWidth="1"/>
    <col min="15092" max="15092" width="1" style="10" customWidth="1"/>
    <col min="15093" max="15093" width="1.28515625" style="10" customWidth="1"/>
    <col min="15094" max="15094" width="50.5703125" style="10" customWidth="1"/>
    <col min="15095" max="15095" width="4.7109375" style="10" customWidth="1"/>
    <col min="15096" max="15096" width="5.7109375" style="10" customWidth="1"/>
    <col min="15097" max="15097" width="20.5703125" style="10" customWidth="1"/>
    <col min="15098" max="15102" width="0" style="10" hidden="1" customWidth="1"/>
    <col min="15103" max="15103" width="16.28515625" style="10" customWidth="1"/>
    <col min="15104" max="15109" width="0" style="10" hidden="1" customWidth="1"/>
    <col min="15110" max="15110" width="16.7109375" style="10" customWidth="1"/>
    <col min="15111" max="15111" width="16.28515625" style="10" customWidth="1"/>
    <col min="15112" max="15116" width="0" style="10" hidden="1" customWidth="1"/>
    <col min="15117" max="15117" width="17.140625" style="10" customWidth="1"/>
    <col min="15118" max="15123" width="0" style="10" hidden="1" customWidth="1"/>
    <col min="15124" max="15124" width="16.28515625" style="10" customWidth="1"/>
    <col min="15125" max="15125" width="1.7109375" style="10" customWidth="1"/>
    <col min="15126" max="15126" width="12.7109375" style="10" customWidth="1"/>
    <col min="15127" max="15127" width="11.28515625" style="10" bestFit="1" customWidth="1"/>
    <col min="15128" max="15139" width="8.7109375" style="10" customWidth="1"/>
    <col min="15140" max="15140" width="10.28515625" style="10" customWidth="1"/>
    <col min="15141" max="15141" width="9.28515625" style="10" customWidth="1"/>
    <col min="15142" max="15142" width="7.7109375" style="10" customWidth="1"/>
    <col min="15143" max="15143" width="7.28515625" style="10" customWidth="1"/>
    <col min="15144" max="15144" width="3.7109375" style="10" customWidth="1"/>
    <col min="15145" max="15148" width="3.140625" style="10" customWidth="1"/>
    <col min="15149" max="15149" width="4" style="10" customWidth="1"/>
    <col min="15150" max="15150" width="3.28515625" style="10" customWidth="1"/>
    <col min="15151" max="15153" width="3.140625" style="10" customWidth="1"/>
    <col min="15154" max="15154" width="9.28515625" style="10" customWidth="1"/>
    <col min="15155" max="15156" width="3.140625" style="10" customWidth="1"/>
    <col min="15157" max="15199" width="1.7109375" style="10" customWidth="1"/>
    <col min="15200" max="15346" width="3" style="10"/>
    <col min="15347" max="15347" width="0.85546875" style="10" customWidth="1"/>
    <col min="15348" max="15348" width="1" style="10" customWidth="1"/>
    <col min="15349" max="15349" width="1.28515625" style="10" customWidth="1"/>
    <col min="15350" max="15350" width="50.5703125" style="10" customWidth="1"/>
    <col min="15351" max="15351" width="4.7109375" style="10" customWidth="1"/>
    <col min="15352" max="15352" width="5.7109375" style="10" customWidth="1"/>
    <col min="15353" max="15353" width="20.5703125" style="10" customWidth="1"/>
    <col min="15354" max="15358" width="0" style="10" hidden="1" customWidth="1"/>
    <col min="15359" max="15359" width="16.28515625" style="10" customWidth="1"/>
    <col min="15360" max="15365" width="0" style="10" hidden="1" customWidth="1"/>
    <col min="15366" max="15366" width="16.7109375" style="10" customWidth="1"/>
    <col min="15367" max="15367" width="16.28515625" style="10" customWidth="1"/>
    <col min="15368" max="15372" width="0" style="10" hidden="1" customWidth="1"/>
    <col min="15373" max="15373" width="17.140625" style="10" customWidth="1"/>
    <col min="15374" max="15379" width="0" style="10" hidden="1" customWidth="1"/>
    <col min="15380" max="15380" width="16.28515625" style="10" customWidth="1"/>
    <col min="15381" max="15381" width="1.7109375" style="10" customWidth="1"/>
    <col min="15382" max="15382" width="12.7109375" style="10" customWidth="1"/>
    <col min="15383" max="15383" width="11.28515625" style="10" bestFit="1" customWidth="1"/>
    <col min="15384" max="15395" width="8.7109375" style="10" customWidth="1"/>
    <col min="15396" max="15396" width="10.28515625" style="10" customWidth="1"/>
    <col min="15397" max="15397" width="9.28515625" style="10" customWidth="1"/>
    <col min="15398" max="15398" width="7.7109375" style="10" customWidth="1"/>
    <col min="15399" max="15399" width="7.28515625" style="10" customWidth="1"/>
    <col min="15400" max="15400" width="3.7109375" style="10" customWidth="1"/>
    <col min="15401" max="15404" width="3.140625" style="10" customWidth="1"/>
    <col min="15405" max="15405" width="4" style="10" customWidth="1"/>
    <col min="15406" max="15406" width="3.28515625" style="10" customWidth="1"/>
    <col min="15407" max="15409" width="3.140625" style="10" customWidth="1"/>
    <col min="15410" max="15410" width="9.28515625" style="10" customWidth="1"/>
    <col min="15411" max="15412" width="3.140625" style="10" customWidth="1"/>
    <col min="15413" max="15455" width="1.7109375" style="10" customWidth="1"/>
    <col min="15456" max="15602" width="3" style="10"/>
    <col min="15603" max="15603" width="0.85546875" style="10" customWidth="1"/>
    <col min="15604" max="15604" width="1" style="10" customWidth="1"/>
    <col min="15605" max="15605" width="1.28515625" style="10" customWidth="1"/>
    <col min="15606" max="15606" width="50.5703125" style="10" customWidth="1"/>
    <col min="15607" max="15607" width="4.7109375" style="10" customWidth="1"/>
    <col min="15608" max="15608" width="5.7109375" style="10" customWidth="1"/>
    <col min="15609" max="15609" width="20.5703125" style="10" customWidth="1"/>
    <col min="15610" max="15614" width="0" style="10" hidden="1" customWidth="1"/>
    <col min="15615" max="15615" width="16.28515625" style="10" customWidth="1"/>
    <col min="15616" max="15621" width="0" style="10" hidden="1" customWidth="1"/>
    <col min="15622" max="15622" width="16.7109375" style="10" customWidth="1"/>
    <col min="15623" max="15623" width="16.28515625" style="10" customWidth="1"/>
    <col min="15624" max="15628" width="0" style="10" hidden="1" customWidth="1"/>
    <col min="15629" max="15629" width="17.140625" style="10" customWidth="1"/>
    <col min="15630" max="15635" width="0" style="10" hidden="1" customWidth="1"/>
    <col min="15636" max="15636" width="16.28515625" style="10" customWidth="1"/>
    <col min="15637" max="15637" width="1.7109375" style="10" customWidth="1"/>
    <col min="15638" max="15638" width="12.7109375" style="10" customWidth="1"/>
    <col min="15639" max="15639" width="11.28515625" style="10" bestFit="1" customWidth="1"/>
    <col min="15640" max="15651" width="8.7109375" style="10" customWidth="1"/>
    <col min="15652" max="15652" width="10.28515625" style="10" customWidth="1"/>
    <col min="15653" max="15653" width="9.28515625" style="10" customWidth="1"/>
    <col min="15654" max="15654" width="7.7109375" style="10" customWidth="1"/>
    <col min="15655" max="15655" width="7.28515625" style="10" customWidth="1"/>
    <col min="15656" max="15656" width="3.7109375" style="10" customWidth="1"/>
    <col min="15657" max="15660" width="3.140625" style="10" customWidth="1"/>
    <col min="15661" max="15661" width="4" style="10" customWidth="1"/>
    <col min="15662" max="15662" width="3.28515625" style="10" customWidth="1"/>
    <col min="15663" max="15665" width="3.140625" style="10" customWidth="1"/>
    <col min="15666" max="15666" width="9.28515625" style="10" customWidth="1"/>
    <col min="15667" max="15668" width="3.140625" style="10" customWidth="1"/>
    <col min="15669" max="15711" width="1.7109375" style="10" customWidth="1"/>
    <col min="15712" max="15858" width="3" style="10"/>
    <col min="15859" max="15859" width="0.85546875" style="10" customWidth="1"/>
    <col min="15860" max="15860" width="1" style="10" customWidth="1"/>
    <col min="15861" max="15861" width="1.28515625" style="10" customWidth="1"/>
    <col min="15862" max="15862" width="50.5703125" style="10" customWidth="1"/>
    <col min="15863" max="15863" width="4.7109375" style="10" customWidth="1"/>
    <col min="15864" max="15864" width="5.7109375" style="10" customWidth="1"/>
    <col min="15865" max="15865" width="20.5703125" style="10" customWidth="1"/>
    <col min="15866" max="15870" width="0" style="10" hidden="1" customWidth="1"/>
    <col min="15871" max="15871" width="16.28515625" style="10" customWidth="1"/>
    <col min="15872" max="15877" width="0" style="10" hidden="1" customWidth="1"/>
    <col min="15878" max="15878" width="16.7109375" style="10" customWidth="1"/>
    <col min="15879" max="15879" width="16.28515625" style="10" customWidth="1"/>
    <col min="15880" max="15884" width="0" style="10" hidden="1" customWidth="1"/>
    <col min="15885" max="15885" width="17.140625" style="10" customWidth="1"/>
    <col min="15886" max="15891" width="0" style="10" hidden="1" customWidth="1"/>
    <col min="15892" max="15892" width="16.28515625" style="10" customWidth="1"/>
    <col min="15893" max="15893" width="1.7109375" style="10" customWidth="1"/>
    <col min="15894" max="15894" width="12.7109375" style="10" customWidth="1"/>
    <col min="15895" max="15895" width="11.28515625" style="10" bestFit="1" customWidth="1"/>
    <col min="15896" max="15907" width="8.7109375" style="10" customWidth="1"/>
    <col min="15908" max="15908" width="10.28515625" style="10" customWidth="1"/>
    <col min="15909" max="15909" width="9.28515625" style="10" customWidth="1"/>
    <col min="15910" max="15910" width="7.7109375" style="10" customWidth="1"/>
    <col min="15911" max="15911" width="7.28515625" style="10" customWidth="1"/>
    <col min="15912" max="15912" width="3.7109375" style="10" customWidth="1"/>
    <col min="15913" max="15916" width="3.140625" style="10" customWidth="1"/>
    <col min="15917" max="15917" width="4" style="10" customWidth="1"/>
    <col min="15918" max="15918" width="3.28515625" style="10" customWidth="1"/>
    <col min="15919" max="15921" width="3.140625" style="10" customWidth="1"/>
    <col min="15922" max="15922" width="9.28515625" style="10" customWidth="1"/>
    <col min="15923" max="15924" width="3.140625" style="10" customWidth="1"/>
    <col min="15925" max="15967" width="1.7109375" style="10" customWidth="1"/>
    <col min="15968" max="16114" width="3" style="10"/>
    <col min="16115" max="16115" width="0.85546875" style="10" customWidth="1"/>
    <col min="16116" max="16116" width="1" style="10" customWidth="1"/>
    <col min="16117" max="16117" width="1.28515625" style="10" customWidth="1"/>
    <col min="16118" max="16118" width="50.5703125" style="10" customWidth="1"/>
    <col min="16119" max="16119" width="4.7109375" style="10" customWidth="1"/>
    <col min="16120" max="16120" width="5.7109375" style="10" customWidth="1"/>
    <col min="16121" max="16121" width="20.5703125" style="10" customWidth="1"/>
    <col min="16122" max="16126" width="0" style="10" hidden="1" customWidth="1"/>
    <col min="16127" max="16127" width="16.28515625" style="10" customWidth="1"/>
    <col min="16128" max="16133" width="0" style="10" hidden="1" customWidth="1"/>
    <col min="16134" max="16134" width="16.7109375" style="10" customWidth="1"/>
    <col min="16135" max="16135" width="16.28515625" style="10" customWidth="1"/>
    <col min="16136" max="16140" width="0" style="10" hidden="1" customWidth="1"/>
    <col min="16141" max="16141" width="17.140625" style="10" customWidth="1"/>
    <col min="16142" max="16147" width="0" style="10" hidden="1" customWidth="1"/>
    <col min="16148" max="16148" width="16.28515625" style="10" customWidth="1"/>
    <col min="16149" max="16149" width="1.7109375" style="10" customWidth="1"/>
    <col min="16150" max="16150" width="12.7109375" style="10" customWidth="1"/>
    <col min="16151" max="16151" width="11.28515625" style="10" bestFit="1" customWidth="1"/>
    <col min="16152" max="16163" width="8.7109375" style="10" customWidth="1"/>
    <col min="16164" max="16164" width="10.28515625" style="10" customWidth="1"/>
    <col min="16165" max="16165" width="9.28515625" style="10" customWidth="1"/>
    <col min="16166" max="16166" width="7.7109375" style="10" customWidth="1"/>
    <col min="16167" max="16167" width="7.28515625" style="10" customWidth="1"/>
    <col min="16168" max="16168" width="3.7109375" style="10" customWidth="1"/>
    <col min="16169" max="16172" width="3.140625" style="10" customWidth="1"/>
    <col min="16173" max="16173" width="4" style="10" customWidth="1"/>
    <col min="16174" max="16174" width="3.28515625" style="10" customWidth="1"/>
    <col min="16175" max="16177" width="3.140625" style="10" customWidth="1"/>
    <col min="16178" max="16178" width="9.28515625" style="10" customWidth="1"/>
    <col min="16179" max="16180" width="3.140625" style="10" customWidth="1"/>
    <col min="16181" max="16223" width="1.7109375" style="10" customWidth="1"/>
    <col min="16224" max="16384" width="3" style="10"/>
  </cols>
  <sheetData>
    <row r="1" spans="2:66" s="1" customFormat="1" hidden="1" x14ac:dyDescent="0.25">
      <c r="B1" s="687" t="s">
        <v>0</v>
      </c>
      <c r="C1" s="688"/>
      <c r="D1" s="688"/>
      <c r="E1" s="688"/>
      <c r="F1" s="688"/>
      <c r="G1" s="688"/>
      <c r="H1" s="688"/>
      <c r="I1" s="688"/>
      <c r="J1" s="688"/>
      <c r="K1" s="688"/>
      <c r="L1" s="688"/>
      <c r="M1" s="688"/>
      <c r="N1" s="688"/>
      <c r="O1" s="688"/>
      <c r="P1" s="688"/>
      <c r="Q1" s="688"/>
      <c r="R1" s="688"/>
      <c r="S1" s="688"/>
      <c r="T1" s="688"/>
      <c r="U1" s="2"/>
    </row>
    <row r="2" spans="2:66" s="3" customFormat="1" ht="13.5" hidden="1" thickBot="1" x14ac:dyDescent="0.3">
      <c r="B2" s="689" t="s">
        <v>1</v>
      </c>
      <c r="C2" s="690"/>
      <c r="D2" s="690"/>
      <c r="E2" s="690"/>
      <c r="F2" s="690"/>
      <c r="G2" s="690"/>
      <c r="H2" s="690"/>
      <c r="I2" s="690"/>
      <c r="J2" s="690"/>
      <c r="K2" s="690"/>
      <c r="L2" s="690"/>
      <c r="M2" s="690"/>
      <c r="N2" s="690"/>
      <c r="O2" s="690"/>
      <c r="P2" s="690"/>
      <c r="Q2" s="690"/>
      <c r="R2" s="690"/>
      <c r="S2" s="690"/>
      <c r="T2" s="690"/>
      <c r="U2" s="4"/>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2:66" s="3" customFormat="1" ht="15.75" x14ac:dyDescent="0.25">
      <c r="B3" s="6"/>
      <c r="C3" s="7"/>
      <c r="F3" s="8"/>
      <c r="H3" s="9"/>
      <c r="I3" s="9"/>
      <c r="J3" s="9"/>
      <c r="K3" s="9"/>
      <c r="L3" s="9"/>
      <c r="M3" s="9"/>
      <c r="N3" s="9"/>
      <c r="O3" s="9"/>
      <c r="P3" s="9"/>
      <c r="Q3" s="9"/>
      <c r="R3" s="9"/>
      <c r="S3" s="9"/>
      <c r="T3" s="8"/>
    </row>
    <row r="4" spans="2:66" ht="15.75" x14ac:dyDescent="0.25">
      <c r="B4" s="11" t="s">
        <v>2</v>
      </c>
      <c r="C4" s="12"/>
      <c r="D4" s="13"/>
      <c r="E4" s="13"/>
      <c r="F4" s="14"/>
      <c r="G4" s="13"/>
      <c r="H4" s="15"/>
      <c r="I4" s="15"/>
      <c r="J4" s="15"/>
      <c r="K4" s="15"/>
      <c r="L4" s="15"/>
      <c r="M4" s="15"/>
      <c r="N4" s="15"/>
      <c r="O4" s="15"/>
      <c r="P4" s="15"/>
      <c r="Q4" s="15"/>
      <c r="R4" s="15"/>
      <c r="S4" s="15"/>
      <c r="T4" s="14"/>
    </row>
    <row r="5" spans="2:66" s="16" customFormat="1" x14ac:dyDescent="0.2">
      <c r="B5" s="17"/>
      <c r="C5" s="7"/>
      <c r="D5" s="7"/>
      <c r="E5" s="7"/>
      <c r="F5" s="18"/>
      <c r="G5" s="691" t="s">
        <v>3</v>
      </c>
      <c r="H5" s="692"/>
      <c r="I5" s="692"/>
      <c r="J5" s="692"/>
      <c r="K5" s="692"/>
      <c r="L5" s="692"/>
      <c r="M5" s="692"/>
      <c r="N5" s="692"/>
      <c r="O5" s="692"/>
      <c r="P5" s="692"/>
      <c r="Q5" s="692"/>
      <c r="R5" s="692"/>
      <c r="S5" s="692"/>
      <c r="T5" s="693"/>
      <c r="U5" s="19"/>
    </row>
    <row r="6" spans="2:66" s="16" customFormat="1" x14ac:dyDescent="0.2">
      <c r="B6" s="17"/>
      <c r="C6" s="7"/>
      <c r="D6" s="7"/>
      <c r="E6" s="7"/>
      <c r="F6" s="20"/>
      <c r="G6" s="21" t="s">
        <v>5</v>
      </c>
      <c r="H6" s="21" t="s">
        <v>6</v>
      </c>
      <c r="I6" s="22" t="s">
        <v>7</v>
      </c>
      <c r="J6" s="22" t="s">
        <v>8</v>
      </c>
      <c r="K6" s="22" t="s">
        <v>9</v>
      </c>
      <c r="L6" s="22" t="s">
        <v>10</v>
      </c>
      <c r="M6" s="22" t="s">
        <v>11</v>
      </c>
      <c r="N6" s="22" t="s">
        <v>12</v>
      </c>
      <c r="O6" s="22" t="s">
        <v>13</v>
      </c>
      <c r="P6" s="22" t="s">
        <v>14</v>
      </c>
      <c r="Q6" s="22" t="s">
        <v>15</v>
      </c>
      <c r="R6" s="22" t="s">
        <v>16</v>
      </c>
      <c r="S6" s="22" t="s">
        <v>17</v>
      </c>
      <c r="T6" s="23" t="s">
        <v>18</v>
      </c>
      <c r="U6" s="19"/>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spans="2:66" s="16" customFormat="1" x14ac:dyDescent="0.2">
      <c r="B7" s="25" t="s">
        <v>20</v>
      </c>
      <c r="C7" s="26"/>
      <c r="D7" s="26"/>
      <c r="E7" s="26"/>
      <c r="F7" s="27" t="s">
        <v>21</v>
      </c>
      <c r="G7" s="28" t="s">
        <v>22</v>
      </c>
      <c r="H7" s="28"/>
      <c r="I7" s="29"/>
      <c r="J7" s="29"/>
      <c r="K7" s="29"/>
      <c r="L7" s="29"/>
      <c r="M7" s="29"/>
      <c r="N7" s="29"/>
      <c r="O7" s="29"/>
      <c r="P7" s="29"/>
      <c r="Q7" s="29"/>
      <c r="R7" s="29"/>
      <c r="S7" s="29"/>
      <c r="T7" s="30"/>
      <c r="U7" s="19"/>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spans="2:66" s="16" customFormat="1" ht="13.5" thickBot="1" x14ac:dyDescent="0.25">
      <c r="B8" s="31"/>
      <c r="C8" s="32"/>
      <c r="D8" s="32"/>
      <c r="E8" s="32"/>
      <c r="F8" s="33"/>
      <c r="G8" s="34"/>
      <c r="H8" s="35"/>
      <c r="I8" s="35"/>
      <c r="J8" s="35"/>
      <c r="K8" s="35"/>
      <c r="L8" s="35"/>
      <c r="M8" s="36"/>
      <c r="N8" s="36"/>
      <c r="O8" s="36"/>
      <c r="P8" s="36"/>
      <c r="Q8" s="36"/>
      <c r="R8" s="36"/>
      <c r="S8" s="36"/>
      <c r="T8" s="37"/>
      <c r="U8" s="19"/>
      <c r="V8" s="38"/>
      <c r="W8" s="694"/>
      <c r="X8" s="694"/>
      <c r="Y8" s="694"/>
      <c r="Z8" s="694"/>
      <c r="AA8" s="694"/>
      <c r="AB8" s="694"/>
      <c r="AC8" s="694"/>
      <c r="AD8" s="694"/>
      <c r="AE8" s="694"/>
      <c r="AF8" s="694"/>
      <c r="AG8" s="694"/>
      <c r="AH8" s="694"/>
      <c r="AI8" s="694"/>
      <c r="AJ8" s="694"/>
      <c r="AL8" s="694"/>
      <c r="AM8" s="694"/>
      <c r="AN8" s="694"/>
      <c r="AO8" s="694"/>
    </row>
    <row r="9" spans="2:66" s="16" customFormat="1" ht="13.5" thickBot="1" x14ac:dyDescent="0.25">
      <c r="B9" s="17" t="s">
        <v>23</v>
      </c>
      <c r="C9" s="7"/>
      <c r="D9" s="39"/>
      <c r="E9" s="39"/>
      <c r="F9" s="20">
        <v>1</v>
      </c>
      <c r="G9" s="35">
        <f>+'[1]Statement 1'!$H$114</f>
        <v>1099513646.5522585</v>
      </c>
      <c r="H9" s="35">
        <f>+'[2]Statement 1'!$U$114</f>
        <v>63095740.380769998</v>
      </c>
      <c r="I9" s="40">
        <f>+'[3]Statement 1'!$J$114</f>
        <v>68106446.022430018</v>
      </c>
      <c r="J9" s="40">
        <f>+'[4]Statement 1'!$K$114</f>
        <v>108554101.37664002</v>
      </c>
      <c r="K9" s="40">
        <f>+'[1]Statement 1'!$L$114</f>
        <v>62846312.960169993</v>
      </c>
      <c r="L9" s="40">
        <f>+'[5]Statement 1'!$M$114</f>
        <v>101855148.66649999</v>
      </c>
      <c r="M9" s="40">
        <f>+'[6]Statement 1'!$N$114</f>
        <v>105679255.27216996</v>
      </c>
      <c r="N9" s="40"/>
      <c r="O9" s="40"/>
      <c r="P9" s="40"/>
      <c r="Q9" s="40"/>
      <c r="R9" s="40"/>
      <c r="S9" s="40"/>
      <c r="T9" s="41">
        <f>SUM(H9:S9)+1</f>
        <v>510137005.67867994</v>
      </c>
      <c r="U9" s="43"/>
      <c r="V9" s="55"/>
      <c r="W9" s="44"/>
      <c r="X9" s="45"/>
      <c r="Y9" s="45"/>
      <c r="Z9" s="45"/>
      <c r="AA9" s="45"/>
      <c r="AB9" s="45"/>
      <c r="AC9" s="45"/>
      <c r="AD9" s="45"/>
      <c r="AE9" s="45"/>
      <c r="AF9" s="45"/>
      <c r="AG9" s="45"/>
      <c r="AH9" s="45"/>
      <c r="AI9" s="45"/>
      <c r="AJ9" s="46"/>
      <c r="AK9" s="47"/>
      <c r="AL9" s="47"/>
      <c r="AM9" s="47"/>
      <c r="AN9" s="47"/>
      <c r="AO9" s="47"/>
      <c r="AP9" s="47"/>
      <c r="AQ9" s="47"/>
      <c r="AR9" s="47"/>
      <c r="AS9" s="47"/>
      <c r="AT9" s="47"/>
      <c r="AU9" s="47"/>
      <c r="AV9" s="47"/>
      <c r="AW9" s="47"/>
      <c r="AX9" s="47"/>
      <c r="AY9" s="47"/>
      <c r="BA9" s="47"/>
      <c r="BB9" s="47"/>
      <c r="BC9" s="47"/>
      <c r="BD9" s="47"/>
      <c r="BE9" s="47"/>
      <c r="BF9" s="47"/>
      <c r="BG9" s="47"/>
      <c r="BH9" s="47"/>
      <c r="BI9" s="47"/>
      <c r="BJ9" s="47"/>
      <c r="BK9" s="47"/>
      <c r="BL9" s="47"/>
      <c r="BM9" s="47"/>
      <c r="BN9" s="47"/>
    </row>
    <row r="10" spans="2:66" s="16" customFormat="1" x14ac:dyDescent="0.2">
      <c r="B10" s="19"/>
      <c r="C10" s="39"/>
      <c r="D10" s="39"/>
      <c r="E10" s="39"/>
      <c r="F10" s="48"/>
      <c r="G10" s="49"/>
      <c r="H10" s="50"/>
      <c r="I10" s="51"/>
      <c r="J10" s="51"/>
      <c r="K10" s="51"/>
      <c r="L10" s="51"/>
      <c r="M10" s="51"/>
      <c r="N10" s="51"/>
      <c r="O10" s="51"/>
      <c r="P10" s="51"/>
      <c r="Q10" s="51"/>
      <c r="R10" s="51"/>
      <c r="S10" s="51"/>
      <c r="T10" s="52"/>
      <c r="U10" s="43"/>
      <c r="V10" s="55"/>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row>
    <row r="11" spans="2:66" s="16" customFormat="1" x14ac:dyDescent="0.2">
      <c r="B11" s="17" t="s">
        <v>24</v>
      </c>
      <c r="C11" s="7"/>
      <c r="D11" s="39"/>
      <c r="E11" s="39"/>
      <c r="F11" s="20">
        <v>2</v>
      </c>
      <c r="G11" s="35">
        <f>+G13+G15+G28+G29+G30+G31+G33</f>
        <v>1809175080</v>
      </c>
      <c r="H11" s="35">
        <f>+H13+H15+H28+H29+H31+H33</f>
        <v>114252197.427</v>
      </c>
      <c r="I11" s="35">
        <f>+I13+I15+I28+I29+I31+I33</f>
        <v>120475526.13</v>
      </c>
      <c r="J11" s="35">
        <f>+J13+J15+J28+J29+J31+J33</f>
        <v>130850284</v>
      </c>
      <c r="K11" s="35">
        <f>+K13+K15+K28+K29+K31+K33</f>
        <v>197375961</v>
      </c>
      <c r="L11" s="35">
        <f>+L13+L15+L28+L29+L31+L33</f>
        <v>165528942.123</v>
      </c>
      <c r="M11" s="35">
        <f>+M13+M15+M28+M29+M31+M33</f>
        <v>148546057.243</v>
      </c>
      <c r="N11" s="35">
        <f>+N13+N15+N28+N29+N31+N33</f>
        <v>0</v>
      </c>
      <c r="O11" s="35">
        <f>+O13+O15+O28+O29+O31+O33</f>
        <v>0</v>
      </c>
      <c r="P11" s="35">
        <f>+P13+P15+P28+P29+P31+P33</f>
        <v>0</v>
      </c>
      <c r="Q11" s="35">
        <f>+Q13+Q15+Q28+Q29+Q31+Q33</f>
        <v>0</v>
      </c>
      <c r="R11" s="35">
        <f>+R13+R15+R28+R29+R31+R33</f>
        <v>0</v>
      </c>
      <c r="S11" s="35">
        <f>+S13+S15+S28+S29+S31+S33</f>
        <v>0</v>
      </c>
      <c r="T11" s="35">
        <f>+T13+T15+T28+T29+T31+T33</f>
        <v>877028968.92299998</v>
      </c>
      <c r="U11" s="43"/>
      <c r="V11" s="56"/>
      <c r="W11" s="57"/>
      <c r="X11" s="57"/>
      <c r="Y11" s="57"/>
      <c r="Z11" s="57"/>
      <c r="AA11" s="57"/>
      <c r="AB11" s="57"/>
      <c r="AC11" s="57"/>
      <c r="AD11" s="57"/>
      <c r="AE11" s="57"/>
      <c r="AF11" s="57"/>
      <c r="AG11" s="57"/>
      <c r="AH11" s="57"/>
      <c r="AI11" s="57"/>
      <c r="AJ11" s="57"/>
      <c r="AK11" s="56"/>
      <c r="AL11" s="56"/>
      <c r="AM11" s="56"/>
      <c r="AN11" s="56"/>
      <c r="AO11" s="56"/>
      <c r="AP11" s="56"/>
      <c r="AQ11" s="56"/>
      <c r="AR11" s="56"/>
      <c r="AS11" s="56"/>
      <c r="AT11" s="56"/>
      <c r="AU11" s="56"/>
      <c r="AV11" s="56"/>
      <c r="AW11" s="56"/>
      <c r="AX11" s="56"/>
    </row>
    <row r="12" spans="2:66" s="16" customFormat="1" x14ac:dyDescent="0.2">
      <c r="B12" s="17"/>
      <c r="C12" s="7"/>
      <c r="D12" s="39"/>
      <c r="E12" s="39"/>
      <c r="F12" s="20"/>
      <c r="G12" s="35"/>
      <c r="H12" s="35"/>
      <c r="I12" s="40"/>
      <c r="J12" s="40"/>
      <c r="K12" s="40"/>
      <c r="L12" s="40"/>
      <c r="M12" s="40"/>
      <c r="N12" s="40"/>
      <c r="O12" s="40"/>
      <c r="P12" s="40"/>
      <c r="Q12" s="40"/>
      <c r="R12" s="40"/>
      <c r="S12" s="40"/>
      <c r="T12" s="40"/>
      <c r="U12" s="43"/>
      <c r="V12" s="56"/>
      <c r="W12" s="47"/>
      <c r="X12" s="47"/>
      <c r="Y12" s="47"/>
      <c r="Z12" s="47"/>
      <c r="AA12" s="47"/>
      <c r="AB12" s="47"/>
      <c r="AC12" s="47"/>
      <c r="AD12" s="47"/>
      <c r="AE12" s="47"/>
      <c r="AF12" s="47"/>
      <c r="AG12" s="47"/>
      <c r="AH12" s="47"/>
      <c r="AI12" s="47"/>
      <c r="AJ12" s="47"/>
      <c r="AK12" s="56"/>
      <c r="AL12" s="56"/>
      <c r="AM12" s="56"/>
      <c r="AN12" s="56"/>
      <c r="AO12" s="56"/>
      <c r="AP12" s="56"/>
      <c r="AQ12" s="56"/>
      <c r="AR12" s="56"/>
      <c r="AS12" s="56"/>
      <c r="AT12" s="56"/>
      <c r="AU12" s="56"/>
      <c r="AV12" s="56"/>
      <c r="AW12" s="56"/>
      <c r="AX12" s="56"/>
    </row>
    <row r="13" spans="2:66" s="16" customFormat="1" x14ac:dyDescent="0.2">
      <c r="B13" s="59"/>
      <c r="C13" s="7" t="s">
        <v>25</v>
      </c>
      <c r="D13" s="39"/>
      <c r="E13" s="39"/>
      <c r="F13" s="20">
        <v>2</v>
      </c>
      <c r="G13" s="60">
        <f>+'[7]20-21'!$I$48</f>
        <v>987653947</v>
      </c>
      <c r="H13" s="60">
        <f>+'[8]20-21'!$N$48</f>
        <v>63165298</v>
      </c>
      <c r="I13" s="41">
        <f>+'[9]20-21'!$S$48</f>
        <v>71995377</v>
      </c>
      <c r="J13" s="41">
        <f>+'[10]20-21'!$X$48</f>
        <v>61212482</v>
      </c>
      <c r="K13" s="41">
        <f>+'[7]20-21'!$AC$48</f>
        <v>118355901</v>
      </c>
      <c r="L13" s="41">
        <f>+'[11]20-21'!$AH$48</f>
        <v>82985001</v>
      </c>
      <c r="M13" s="41">
        <f>+'[12]20-21'!$AM$48</f>
        <v>75682961</v>
      </c>
      <c r="N13" s="41"/>
      <c r="O13" s="41"/>
      <c r="P13" s="41"/>
      <c r="Q13" s="41"/>
      <c r="R13" s="41"/>
      <c r="S13" s="41"/>
      <c r="T13" s="41">
        <f>SUM(H13:S13)</f>
        <v>473397020</v>
      </c>
      <c r="U13" s="43"/>
      <c r="V13" s="56"/>
      <c r="W13" s="57"/>
      <c r="X13" s="57"/>
      <c r="Y13" s="57"/>
      <c r="Z13" s="57"/>
      <c r="AA13" s="57"/>
      <c r="AB13" s="57"/>
      <c r="AC13" s="57"/>
      <c r="AD13" s="57"/>
      <c r="AE13" s="57"/>
      <c r="AF13" s="57"/>
      <c r="AG13" s="57"/>
      <c r="AH13" s="57"/>
      <c r="AI13" s="57"/>
      <c r="AJ13" s="57"/>
      <c r="AK13" s="56"/>
      <c r="AL13" s="56"/>
      <c r="AM13" s="56"/>
      <c r="AN13" s="56"/>
      <c r="AO13" s="56"/>
      <c r="AP13" s="56"/>
      <c r="AQ13" s="56"/>
      <c r="AR13" s="56"/>
      <c r="AS13" s="56"/>
      <c r="AT13" s="56"/>
      <c r="AU13" s="56"/>
      <c r="AV13" s="56"/>
      <c r="AW13" s="56"/>
      <c r="AX13" s="56"/>
    </row>
    <row r="14" spans="2:66" s="16" customFormat="1" x14ac:dyDescent="0.2">
      <c r="B14" s="17"/>
      <c r="C14" s="7"/>
      <c r="D14" s="39"/>
      <c r="E14" s="39"/>
      <c r="F14" s="20"/>
      <c r="G14" s="35"/>
      <c r="H14" s="35"/>
      <c r="I14" s="40"/>
      <c r="J14" s="40"/>
      <c r="K14" s="40"/>
      <c r="L14" s="40"/>
      <c r="M14" s="40"/>
      <c r="N14" s="40"/>
      <c r="O14" s="40"/>
      <c r="P14" s="40"/>
      <c r="Q14" s="40"/>
      <c r="R14" s="40"/>
      <c r="S14" s="40"/>
      <c r="T14" s="40"/>
      <c r="U14" s="43"/>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row>
    <row r="15" spans="2:66" s="16" customFormat="1" x14ac:dyDescent="0.2">
      <c r="B15" s="59"/>
      <c r="C15" s="7" t="s">
        <v>26</v>
      </c>
      <c r="D15" s="39"/>
      <c r="E15" s="39"/>
      <c r="F15" s="20">
        <v>2</v>
      </c>
      <c r="G15" s="60">
        <f>SUM(G16:G26)</f>
        <v>804731807</v>
      </c>
      <c r="H15" s="60">
        <f>SUM(H16:H26)</f>
        <v>51086899.427000001</v>
      </c>
      <c r="I15" s="60">
        <f>SUM(I16:I26)</f>
        <v>48480149.130000003</v>
      </c>
      <c r="J15" s="60">
        <f>SUM(J16:J26)</f>
        <v>69637802</v>
      </c>
      <c r="K15" s="60">
        <f>SUM(K16:K26)</f>
        <v>79020060</v>
      </c>
      <c r="L15" s="60">
        <f>SUM(L16:L26)</f>
        <v>82543941.122999996</v>
      </c>
      <c r="M15" s="60">
        <f>SUM(M16:M26)-M20-M23</f>
        <v>72863096.243000001</v>
      </c>
      <c r="N15" s="60"/>
      <c r="O15" s="60"/>
      <c r="P15" s="60"/>
      <c r="Q15" s="60"/>
      <c r="R15" s="60"/>
      <c r="S15" s="60"/>
      <c r="T15" s="60">
        <f>SUM(T16:T26)-T20-T23</f>
        <v>403631948.92299998</v>
      </c>
      <c r="U15" s="43"/>
      <c r="V15" s="56"/>
      <c r="W15" s="57"/>
      <c r="X15" s="57"/>
      <c r="Y15" s="57"/>
      <c r="Z15" s="57"/>
      <c r="AA15" s="57"/>
      <c r="AB15" s="57"/>
      <c r="AC15" s="57"/>
      <c r="AD15" s="57"/>
      <c r="AE15" s="57"/>
      <c r="AF15" s="57"/>
      <c r="AG15" s="57"/>
      <c r="AH15" s="57"/>
      <c r="AI15" s="57"/>
      <c r="AJ15" s="57"/>
      <c r="AK15" s="56"/>
      <c r="AL15" s="56"/>
      <c r="AM15" s="56"/>
      <c r="AN15" s="56"/>
      <c r="AO15" s="56"/>
      <c r="AP15" s="56"/>
      <c r="AQ15" s="56"/>
      <c r="AR15" s="56"/>
      <c r="AS15" s="56"/>
      <c r="AT15" s="56"/>
      <c r="AU15" s="56"/>
      <c r="AV15" s="56"/>
      <c r="AW15" s="56"/>
      <c r="AX15" s="56"/>
    </row>
    <row r="16" spans="2:66" s="16" customFormat="1" x14ac:dyDescent="0.2">
      <c r="B16" s="59"/>
      <c r="C16" s="7"/>
      <c r="D16" s="62" t="s">
        <v>27</v>
      </c>
      <c r="E16" s="62"/>
      <c r="F16" s="63"/>
      <c r="G16" s="64">
        <f>+'[7]20-21'!$I$53</f>
        <v>236444437</v>
      </c>
      <c r="H16" s="64">
        <f>+'[8]20-21'!$N$53</f>
        <v>4156462.4270000001</v>
      </c>
      <c r="I16" s="65">
        <f>+'[9]20-21'!$S$53</f>
        <v>1746959.1300000001</v>
      </c>
      <c r="J16" s="65">
        <f>+'[10]20-21'!$X$53</f>
        <v>23287136</v>
      </c>
      <c r="K16" s="65">
        <f>+'[7]20-21'!$AC$53</f>
        <v>33793248</v>
      </c>
      <c r="L16" s="65">
        <f>+'[11]20-21'!$AH$53</f>
        <v>32588390.123</v>
      </c>
      <c r="M16" s="65">
        <f>+'[12]20-21'!$AM$53</f>
        <v>20719704.243000001</v>
      </c>
      <c r="N16" s="65"/>
      <c r="O16" s="65"/>
      <c r="P16" s="65"/>
      <c r="Q16" s="65"/>
      <c r="R16" s="65"/>
      <c r="S16" s="65"/>
      <c r="T16" s="65">
        <f>SUM(H16:S16)+1</f>
        <v>116291900.92299999</v>
      </c>
      <c r="U16" s="43"/>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row>
    <row r="17" spans="2:50" s="16" customFormat="1" x14ac:dyDescent="0.2">
      <c r="B17" s="59"/>
      <c r="C17" s="7"/>
      <c r="D17" s="62" t="s">
        <v>28</v>
      </c>
      <c r="E17" s="62"/>
      <c r="F17" s="20"/>
      <c r="G17" s="64">
        <f>+'[7]20-21'!$I$56</f>
        <v>538471528</v>
      </c>
      <c r="H17" s="64">
        <f>+'[8]20-21'!$N$56</f>
        <v>44872627</v>
      </c>
      <c r="I17" s="65">
        <f>+'[9]20-21'!$S$56</f>
        <v>44872627</v>
      </c>
      <c r="J17" s="65">
        <f>+'[10]20-21'!$X$56</f>
        <v>44872627</v>
      </c>
      <c r="K17" s="65">
        <f>+'[7]20-21'!$AC$56</f>
        <v>44872627</v>
      </c>
      <c r="L17" s="65">
        <f>+'[11]20-21'!$AH$56</f>
        <v>44872627</v>
      </c>
      <c r="M17" s="65">
        <f>+'[12]20-21'!$AM$56</f>
        <v>44872627</v>
      </c>
      <c r="N17" s="65"/>
      <c r="O17" s="65"/>
      <c r="P17" s="65"/>
      <c r="Q17" s="65"/>
      <c r="R17" s="65"/>
      <c r="S17" s="65"/>
      <c r="T17" s="65">
        <f t="shared" ref="T17:T22" si="0">SUM(H17:S17)</f>
        <v>269235762</v>
      </c>
      <c r="U17" s="43"/>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row>
    <row r="18" spans="2:50" s="16" customFormat="1" x14ac:dyDescent="0.2">
      <c r="B18" s="59"/>
      <c r="C18" s="7"/>
      <c r="D18" s="62" t="s">
        <v>29</v>
      </c>
      <c r="E18" s="62"/>
      <c r="F18" s="20"/>
      <c r="G18" s="64">
        <f>+'[7]20-21'!$I$57</f>
        <v>14026878</v>
      </c>
      <c r="H18" s="64">
        <f>+'[8]20-21'!$N$57</f>
        <v>0</v>
      </c>
      <c r="I18" s="65">
        <f>+'[9]20-21'!$S$57</f>
        <v>0</v>
      </c>
      <c r="J18" s="65">
        <f>+'[10]20-21'!$X$57</f>
        <v>0</v>
      </c>
      <c r="K18" s="65">
        <f>+'[7]20-21'!$AC$57</f>
        <v>0</v>
      </c>
      <c r="L18" s="65">
        <f>+'[11]20-21'!$AH$57</f>
        <v>4675628</v>
      </c>
      <c r="M18" s="65">
        <f>+'[12]20-21'!$AM$57</f>
        <v>0</v>
      </c>
      <c r="N18" s="65"/>
      <c r="O18" s="65"/>
      <c r="P18" s="65"/>
      <c r="Q18" s="65"/>
      <c r="R18" s="65"/>
      <c r="S18" s="65"/>
      <c r="T18" s="65">
        <f t="shared" si="0"/>
        <v>4675628</v>
      </c>
      <c r="U18" s="43"/>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row>
    <row r="19" spans="2:50" s="16" customFormat="1" x14ac:dyDescent="0.2">
      <c r="B19" s="59"/>
      <c r="C19" s="7"/>
      <c r="D19" s="62" t="str">
        <f>+'[12]20-21'!$A$60</f>
        <v>Other payments</v>
      </c>
      <c r="E19" s="62"/>
      <c r="F19" s="20"/>
      <c r="G19" s="64"/>
      <c r="H19" s="64"/>
      <c r="I19" s="65"/>
      <c r="J19" s="65"/>
      <c r="K19" s="65"/>
      <c r="L19" s="65"/>
      <c r="M19" s="65"/>
      <c r="N19" s="65"/>
      <c r="O19" s="65"/>
      <c r="P19" s="65"/>
      <c r="Q19" s="65"/>
      <c r="R19" s="65"/>
      <c r="S19" s="65"/>
      <c r="T19" s="65"/>
      <c r="U19" s="43"/>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row>
    <row r="20" spans="2:50" s="67" customFormat="1" x14ac:dyDescent="0.2">
      <c r="B20" s="68"/>
      <c r="C20" s="69"/>
      <c r="D20" s="70" t="s">
        <v>30</v>
      </c>
      <c r="E20" s="71"/>
      <c r="F20" s="72"/>
      <c r="G20" s="73">
        <f t="shared" ref="G20:L20" si="1">SUM(G21:G22)</f>
        <v>0</v>
      </c>
      <c r="H20" s="74">
        <f t="shared" si="1"/>
        <v>0</v>
      </c>
      <c r="I20" s="74">
        <f t="shared" si="1"/>
        <v>0</v>
      </c>
      <c r="J20" s="74">
        <f t="shared" si="1"/>
        <v>0</v>
      </c>
      <c r="K20" s="74">
        <f t="shared" si="1"/>
        <v>0</v>
      </c>
      <c r="L20" s="737">
        <f t="shared" si="1"/>
        <v>0</v>
      </c>
      <c r="M20" s="73">
        <f>SUM(M21:M22)</f>
        <v>217761</v>
      </c>
      <c r="N20" s="74">
        <f t="shared" ref="N20:S20" si="2">SUM(N21:N22)</f>
        <v>0</v>
      </c>
      <c r="O20" s="74">
        <f t="shared" si="2"/>
        <v>0</v>
      </c>
      <c r="P20" s="74">
        <f t="shared" si="2"/>
        <v>0</v>
      </c>
      <c r="Q20" s="74">
        <f t="shared" si="2"/>
        <v>0</v>
      </c>
      <c r="R20" s="74">
        <f t="shared" si="2"/>
        <v>0</v>
      </c>
      <c r="S20" s="74">
        <f t="shared" si="2"/>
        <v>0</v>
      </c>
      <c r="T20" s="75">
        <f t="shared" si="0"/>
        <v>217761</v>
      </c>
      <c r="U20" s="76"/>
    </row>
    <row r="21" spans="2:50" s="16" customFormat="1" x14ac:dyDescent="0.2">
      <c r="B21" s="59"/>
      <c r="C21" s="7"/>
      <c r="D21" s="77" t="str">
        <f>+'[12]20-21'!$B$62</f>
        <v xml:space="preserve">South African Express Airways </v>
      </c>
      <c r="E21" s="62"/>
      <c r="F21" s="63"/>
      <c r="G21" s="64">
        <v>0</v>
      </c>
      <c r="H21" s="64">
        <v>0</v>
      </c>
      <c r="I21" s="65">
        <v>0</v>
      </c>
      <c r="J21" s="65">
        <v>0</v>
      </c>
      <c r="K21" s="65">
        <v>0</v>
      </c>
      <c r="L21" s="66">
        <v>0</v>
      </c>
      <c r="M21" s="64">
        <f>+'[12]20-21'!$AL$62</f>
        <v>143395</v>
      </c>
      <c r="N21" s="65"/>
      <c r="O21" s="65"/>
      <c r="P21" s="65"/>
      <c r="Q21" s="65"/>
      <c r="R21" s="65"/>
      <c r="S21" s="65"/>
      <c r="T21" s="65">
        <f t="shared" si="0"/>
        <v>143395</v>
      </c>
      <c r="U21" s="43"/>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row>
    <row r="22" spans="2:50" s="16" customFormat="1" x14ac:dyDescent="0.2">
      <c r="B22" s="59"/>
      <c r="C22" s="7"/>
      <c r="D22" s="77" t="str">
        <f>+'[12]20-21'!$B$63</f>
        <v>Land and Agricultural Development Bank of SA</v>
      </c>
      <c r="E22" s="62"/>
      <c r="F22" s="63"/>
      <c r="G22" s="64">
        <v>0</v>
      </c>
      <c r="H22" s="64">
        <v>0</v>
      </c>
      <c r="I22" s="65">
        <v>0</v>
      </c>
      <c r="J22" s="65">
        <v>0</v>
      </c>
      <c r="K22" s="65">
        <v>0</v>
      </c>
      <c r="L22" s="66">
        <v>0</v>
      </c>
      <c r="M22" s="64">
        <f>+'[12]20-21'!$AL$63</f>
        <v>74366</v>
      </c>
      <c r="N22" s="65"/>
      <c r="O22" s="65"/>
      <c r="P22" s="65"/>
      <c r="Q22" s="65"/>
      <c r="R22" s="65"/>
      <c r="S22" s="65"/>
      <c r="T22" s="65">
        <f t="shared" si="0"/>
        <v>74366</v>
      </c>
      <c r="U22" s="43"/>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row>
    <row r="23" spans="2:50" s="16" customFormat="1" x14ac:dyDescent="0.2">
      <c r="B23" s="78"/>
      <c r="C23" s="39"/>
      <c r="D23" s="79" t="s">
        <v>31</v>
      </c>
      <c r="E23" s="62"/>
      <c r="F23" s="80"/>
      <c r="G23" s="81">
        <f t="shared" ref="G23:L23" si="3">SUM(G24:G24)</f>
        <v>0</v>
      </c>
      <c r="H23" s="81">
        <f t="shared" si="3"/>
        <v>0</v>
      </c>
      <c r="I23" s="81">
        <f t="shared" si="3"/>
        <v>0</v>
      </c>
      <c r="J23" s="81">
        <f t="shared" si="3"/>
        <v>0</v>
      </c>
      <c r="K23" s="81">
        <f t="shared" si="3"/>
        <v>0</v>
      </c>
      <c r="L23" s="472">
        <f t="shared" si="3"/>
        <v>0</v>
      </c>
      <c r="M23" s="81">
        <f>SUM(M24:M24)</f>
        <v>6571667</v>
      </c>
      <c r="N23" s="81">
        <f>SUM(N24:N24)</f>
        <v>0</v>
      </c>
      <c r="O23" s="81">
        <f>SUM(O24:O24)</f>
        <v>0</v>
      </c>
      <c r="P23" s="81">
        <f>SUM(P24:P24)</f>
        <v>0</v>
      </c>
      <c r="Q23" s="81">
        <f>SUM(Q24:Q24)</f>
        <v>0</v>
      </c>
      <c r="R23" s="81">
        <f>SUM(R24:R24)</f>
        <v>0</v>
      </c>
      <c r="S23" s="81">
        <f>SUM(S24:S24)</f>
        <v>0</v>
      </c>
      <c r="T23" s="81">
        <f>SUM(T24:T24)</f>
        <v>6571667</v>
      </c>
      <c r="U23" s="43"/>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row>
    <row r="24" spans="2:50" s="16" customFormat="1" x14ac:dyDescent="0.2">
      <c r="B24" s="59"/>
      <c r="C24" s="7"/>
      <c r="D24" s="82" t="str">
        <f>+'Table 2 Pg1'!B65</f>
        <v>South African Airways</v>
      </c>
      <c r="E24" s="62"/>
      <c r="F24" s="63"/>
      <c r="G24" s="64">
        <v>0</v>
      </c>
      <c r="H24" s="64">
        <v>0</v>
      </c>
      <c r="I24" s="65">
        <v>0</v>
      </c>
      <c r="J24" s="65">
        <v>0</v>
      </c>
      <c r="K24" s="65">
        <v>0</v>
      </c>
      <c r="L24" s="66">
        <v>0</v>
      </c>
      <c r="M24" s="64">
        <f>+'[12]20-21'!$AL$65</f>
        <v>6571667</v>
      </c>
      <c r="N24" s="65"/>
      <c r="O24" s="65"/>
      <c r="P24" s="65"/>
      <c r="Q24" s="65"/>
      <c r="R24" s="65"/>
      <c r="S24" s="65"/>
      <c r="T24" s="65">
        <f>SUM(H24:S24)</f>
        <v>6571667</v>
      </c>
      <c r="U24" s="43"/>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row>
    <row r="25" spans="2:50" s="16" customFormat="1" x14ac:dyDescent="0.2">
      <c r="B25" s="59"/>
      <c r="C25" s="7"/>
      <c r="D25" s="62" t="s">
        <v>32</v>
      </c>
      <c r="E25" s="62"/>
      <c r="F25" s="20"/>
      <c r="G25" s="64">
        <f>+'[7]20-21'!$I$60</f>
        <v>11290516</v>
      </c>
      <c r="H25" s="64">
        <f>+'[8]20-21'!$N$60</f>
        <v>1745798</v>
      </c>
      <c r="I25" s="65">
        <f>+'[9]20-21'!$S$60</f>
        <v>1447692</v>
      </c>
      <c r="J25" s="65">
        <f>+'[10]20-21'!$X$60</f>
        <v>1118322</v>
      </c>
      <c r="K25" s="65">
        <f>+'[7]20-21'!$AC$60</f>
        <v>54518</v>
      </c>
      <c r="L25" s="65">
        <f>+'[11]20-21'!$AH$60</f>
        <v>92107</v>
      </c>
      <c r="M25" s="65">
        <f>+'[12]20-21'!$AM$66</f>
        <v>75474</v>
      </c>
      <c r="N25" s="65"/>
      <c r="O25" s="65"/>
      <c r="P25" s="65"/>
      <c r="Q25" s="65"/>
      <c r="R25" s="65"/>
      <c r="S25" s="65"/>
      <c r="T25" s="65">
        <f>SUM(H25:S25)</f>
        <v>4533911</v>
      </c>
      <c r="U25" s="43"/>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row>
    <row r="26" spans="2:50" s="16" customFormat="1" x14ac:dyDescent="0.2">
      <c r="B26" s="59"/>
      <c r="C26" s="7"/>
      <c r="D26" s="62" t="s">
        <v>33</v>
      </c>
      <c r="E26" s="62"/>
      <c r="F26" s="20"/>
      <c r="G26" s="64">
        <f>+'[7]20-21'!$I$51+'[7]20-21'!$I$52+'[7]20-21'!$I$58+'[7]20-21'!$I$59+'[7]20-21'!$I$61+'[7]20-21'!$I$62+'[7]20-21'!$I$63</f>
        <v>4498448</v>
      </c>
      <c r="H26" s="64">
        <f>+'[8]20-21'!$N$51+'[8]20-21'!$N$52+'[8]20-21'!$N$58+'[8]20-21'!$N$59+'[8]20-21'!$N$61+'[8]20-21'!$N$62+'[8]20-21'!$N$63</f>
        <v>312012</v>
      </c>
      <c r="I26" s="65">
        <f>+'[9]20-21'!$S$51+'[9]20-21'!$S$52+'[9]20-21'!$S$58+'[9]20-21'!$S$59+'[9]20-21'!$S$61+'[9]20-21'!$S$62+'[9]20-21'!$S$63</f>
        <v>412871</v>
      </c>
      <c r="J26" s="65">
        <f>+'[10]20-21'!$X$51+'[10]20-21'!$X$52+'[10]20-21'!$X$58+'[10]20-21'!$X$59+'[10]20-21'!$X$61+'[10]20-21'!$X$62+'[10]20-21'!$X$63</f>
        <v>359717</v>
      </c>
      <c r="K26" s="65">
        <f>+'[7]20-21'!$AC$51+'[7]20-21'!$AC$52+'[7]20-21'!$AC$57+'[7]20-21'!$AC$58+'[7]20-21'!$AC$61+'[7]20-21'!$AC$62+'[7]20-21'!$AC$63+'[7]20-21'!$AC$59</f>
        <v>299667</v>
      </c>
      <c r="L26" s="65">
        <f>+'[11]20-21'!$AH$51+'[11]20-21'!$AH$52+'[11]20-21'!$AH$58+'[11]20-21'!$AH$59+'[11]20-21'!$AH$61+'[11]20-21'!$AH$62+'[11]20-21'!$AH$63</f>
        <v>315189</v>
      </c>
      <c r="M26" s="65">
        <f>+'[12]20-21'!$AM$51+'[12]20-21'!$AM$52+'[12]20-21'!$AM$58+'[12]20-21'!$AM$59+'[12]20-21'!$AM$67+'[12]20-21'!$AM$68</f>
        <v>405863</v>
      </c>
      <c r="N26" s="65"/>
      <c r="O26" s="65"/>
      <c r="P26" s="65"/>
      <c r="Q26" s="65"/>
      <c r="R26" s="65"/>
      <c r="S26" s="65"/>
      <c r="T26" s="65">
        <f>SUM(H26:S26)</f>
        <v>2105319</v>
      </c>
      <c r="U26" s="43"/>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row>
    <row r="27" spans="2:50" s="24" customFormat="1" x14ac:dyDescent="0.2">
      <c r="B27" s="59"/>
      <c r="C27" s="84"/>
      <c r="D27" s="7"/>
      <c r="E27" s="7"/>
      <c r="F27" s="20"/>
      <c r="G27" s="81"/>
      <c r="H27" s="81"/>
      <c r="I27" s="75"/>
      <c r="J27" s="75"/>
      <c r="K27" s="75"/>
      <c r="L27" s="75"/>
      <c r="M27" s="75"/>
      <c r="N27" s="75"/>
      <c r="O27" s="75"/>
      <c r="P27" s="41"/>
      <c r="Q27" s="41"/>
      <c r="R27" s="41"/>
      <c r="S27" s="41"/>
      <c r="T27" s="75"/>
      <c r="U27" s="85"/>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spans="2:50" s="24" customFormat="1" x14ac:dyDescent="0.2">
      <c r="B28" s="59"/>
      <c r="C28" s="84" t="str">
        <f>+'[8]20-21'!$A$65</f>
        <v>Provisional allocation for contingencies not assigned to votes</v>
      </c>
      <c r="D28" s="7"/>
      <c r="E28" s="7"/>
      <c r="F28" s="20"/>
      <c r="G28" s="81">
        <f>+'[7]20-21'!$I$65</f>
        <v>7021000</v>
      </c>
      <c r="H28" s="81">
        <v>0</v>
      </c>
      <c r="I28" s="75">
        <v>0</v>
      </c>
      <c r="J28" s="75">
        <v>0</v>
      </c>
      <c r="K28" s="75">
        <v>0</v>
      </c>
      <c r="L28" s="75">
        <v>0</v>
      </c>
      <c r="M28" s="75">
        <v>0</v>
      </c>
      <c r="N28" s="75"/>
      <c r="O28" s="75"/>
      <c r="P28" s="41"/>
      <c r="Q28" s="41"/>
      <c r="R28" s="41"/>
      <c r="S28" s="41"/>
      <c r="T28" s="75">
        <v>0</v>
      </c>
      <c r="U28" s="85"/>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spans="2:50" s="24" customFormat="1" x14ac:dyDescent="0.2">
      <c r="B29" s="59"/>
      <c r="C29" s="84" t="str">
        <f>+'[8]20-21'!$A$66</f>
        <v xml:space="preserve">Provisional allocation for Eskom restructuring </v>
      </c>
      <c r="D29" s="7"/>
      <c r="E29" s="7"/>
      <c r="F29" s="20"/>
      <c r="G29" s="81">
        <f>+'[7]20-21'!$I$66</f>
        <v>23000000</v>
      </c>
      <c r="H29" s="81">
        <v>0</v>
      </c>
      <c r="I29" s="75">
        <v>0</v>
      </c>
      <c r="J29" s="75">
        <v>0</v>
      </c>
      <c r="K29" s="75">
        <v>0</v>
      </c>
      <c r="L29" s="75">
        <v>0</v>
      </c>
      <c r="M29" s="75">
        <v>0</v>
      </c>
      <c r="N29" s="75"/>
      <c r="O29" s="75"/>
      <c r="P29" s="41"/>
      <c r="Q29" s="41"/>
      <c r="R29" s="41"/>
      <c r="S29" s="41"/>
      <c r="T29" s="75">
        <v>0</v>
      </c>
      <c r="U29" s="85"/>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spans="2:50" s="24" customFormat="1" x14ac:dyDescent="0.2">
      <c r="B30" s="59"/>
      <c r="C30" s="84" t="str">
        <f>+'[7]20-21'!$A$67</f>
        <v xml:space="preserve">Provisional allocation for COVID-19 fiscal relief package </v>
      </c>
      <c r="D30" s="7"/>
      <c r="E30" s="7"/>
      <c r="F30" s="20"/>
      <c r="G30" s="81">
        <f>+'[7]20-21'!$I$67</f>
        <v>19575326</v>
      </c>
      <c r="H30" s="81">
        <v>0</v>
      </c>
      <c r="I30" s="75">
        <v>0</v>
      </c>
      <c r="J30" s="75">
        <v>0</v>
      </c>
      <c r="K30" s="75">
        <v>0</v>
      </c>
      <c r="L30" s="75">
        <v>0</v>
      </c>
      <c r="M30" s="75">
        <v>0</v>
      </c>
      <c r="N30" s="75"/>
      <c r="O30" s="75"/>
      <c r="P30" s="41"/>
      <c r="Q30" s="41"/>
      <c r="R30" s="41"/>
      <c r="S30" s="41"/>
      <c r="T30" s="75">
        <v>0</v>
      </c>
      <c r="U30" s="85"/>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spans="2:50" s="24" customFormat="1" x14ac:dyDescent="0.2">
      <c r="B31" s="59"/>
      <c r="C31" s="86" t="str">
        <f>+'[8]20-21'!$A$67</f>
        <v>Compensation of employees adjustment</v>
      </c>
      <c r="D31" s="7"/>
      <c r="E31" s="87"/>
      <c r="F31" s="20"/>
      <c r="G31" s="81">
        <f>+'[7]20-21'!$I$68</f>
        <v>-37807000</v>
      </c>
      <c r="H31" s="81">
        <v>0</v>
      </c>
      <c r="I31" s="75">
        <v>0</v>
      </c>
      <c r="J31" s="75">
        <v>0</v>
      </c>
      <c r="K31" s="75">
        <v>0</v>
      </c>
      <c r="L31" s="75">
        <v>0</v>
      </c>
      <c r="M31" s="75">
        <v>0</v>
      </c>
      <c r="N31" s="75"/>
      <c r="O31" s="75">
        <v>0</v>
      </c>
      <c r="P31" s="75">
        <v>0</v>
      </c>
      <c r="Q31" s="75">
        <v>0</v>
      </c>
      <c r="R31" s="75">
        <v>0</v>
      </c>
      <c r="S31" s="75">
        <v>0</v>
      </c>
      <c r="T31" s="75">
        <v>0</v>
      </c>
      <c r="U31" s="85"/>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spans="2:50" s="24" customFormat="1" x14ac:dyDescent="0.2">
      <c r="B32" s="59"/>
      <c r="C32" s="86"/>
      <c r="D32" s="7"/>
      <c r="E32" s="87"/>
      <c r="F32" s="20"/>
      <c r="G32" s="81"/>
      <c r="H32" s="81"/>
      <c r="I32" s="75"/>
      <c r="J32" s="75"/>
      <c r="K32" s="75"/>
      <c r="L32" s="75"/>
      <c r="M32" s="75"/>
      <c r="N32" s="75"/>
      <c r="O32" s="75"/>
      <c r="P32" s="75"/>
      <c r="Q32" s="75"/>
      <c r="R32" s="75"/>
      <c r="S32" s="75"/>
      <c r="T32" s="75"/>
      <c r="U32" s="85"/>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spans="2:52" s="24" customFormat="1" x14ac:dyDescent="0.2">
      <c r="B33" s="59"/>
      <c r="C33" s="86" t="str">
        <f>+'[8]20-21'!$A$69</f>
        <v>Contingency reserve</v>
      </c>
      <c r="D33" s="7"/>
      <c r="E33" s="87"/>
      <c r="F33" s="20"/>
      <c r="G33" s="81">
        <f>+'[7]20-21'!$I$70</f>
        <v>5000000</v>
      </c>
      <c r="H33" s="81">
        <v>0</v>
      </c>
      <c r="I33" s="75">
        <v>0</v>
      </c>
      <c r="J33" s="75">
        <v>0</v>
      </c>
      <c r="K33" s="75">
        <v>0</v>
      </c>
      <c r="L33" s="75">
        <v>0</v>
      </c>
      <c r="M33" s="75">
        <v>0</v>
      </c>
      <c r="N33" s="75"/>
      <c r="O33" s="75"/>
      <c r="P33" s="75"/>
      <c r="Q33" s="75"/>
      <c r="R33" s="75"/>
      <c r="S33" s="75"/>
      <c r="T33" s="75">
        <v>0</v>
      </c>
      <c r="U33" s="85"/>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row>
    <row r="34" spans="2:52" s="24" customFormat="1" x14ac:dyDescent="0.2">
      <c r="B34" s="59"/>
      <c r="C34" s="84"/>
      <c r="D34" s="7"/>
      <c r="E34" s="7"/>
      <c r="F34" s="20"/>
      <c r="G34" s="81"/>
      <c r="H34" s="81"/>
      <c r="I34" s="41"/>
      <c r="J34" s="41"/>
      <c r="K34" s="75"/>
      <c r="L34" s="75"/>
      <c r="M34" s="41"/>
      <c r="N34" s="75"/>
      <c r="O34" s="41"/>
      <c r="P34" s="41"/>
      <c r="Q34" s="41"/>
      <c r="R34" s="41"/>
      <c r="S34" s="41"/>
      <c r="T34" s="75"/>
      <c r="U34" s="85"/>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row>
    <row r="35" spans="2:52" s="16" customFormat="1" x14ac:dyDescent="0.2">
      <c r="B35" s="17" t="s">
        <v>34</v>
      </c>
      <c r="C35" s="7"/>
      <c r="D35" s="7"/>
      <c r="E35" s="7"/>
      <c r="F35" s="20"/>
      <c r="G35" s="88">
        <f>+G9-G11</f>
        <v>-709661433.44774151</v>
      </c>
      <c r="H35" s="88">
        <f>+H9-H11</f>
        <v>-51156457.046230003</v>
      </c>
      <c r="I35" s="88">
        <f>+I9-I11</f>
        <v>-52369080.107569978</v>
      </c>
      <c r="J35" s="88">
        <f>+J9-J11</f>
        <v>-22296182.623359978</v>
      </c>
      <c r="K35" s="88">
        <f>+K9-K11</f>
        <v>-134529648.03983</v>
      </c>
      <c r="L35" s="88">
        <f>+L9-L11</f>
        <v>-63673793.456500009</v>
      </c>
      <c r="M35" s="88">
        <f>+M9-M11</f>
        <v>-42866801.970830038</v>
      </c>
      <c r="N35" s="88">
        <f>+N9-N11</f>
        <v>0</v>
      </c>
      <c r="O35" s="88">
        <f>+O9-O11</f>
        <v>0</v>
      </c>
      <c r="P35" s="88">
        <f>+P9-P11</f>
        <v>0</v>
      </c>
      <c r="Q35" s="88">
        <f>+Q9-Q11</f>
        <v>0</v>
      </c>
      <c r="R35" s="88">
        <f>+R9-R11</f>
        <v>0</v>
      </c>
      <c r="S35" s="88">
        <f>+S9-S11</f>
        <v>0</v>
      </c>
      <c r="T35" s="89">
        <f>+T9-T11</f>
        <v>-366891963.24432003</v>
      </c>
      <c r="U35" s="43"/>
      <c r="V35" s="55"/>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56"/>
      <c r="AZ35" s="56"/>
    </row>
    <row r="36" spans="2:52" s="16" customFormat="1" x14ac:dyDescent="0.2">
      <c r="B36" s="19"/>
      <c r="C36" s="39"/>
      <c r="D36" s="39"/>
      <c r="E36" s="39"/>
      <c r="F36" s="20"/>
      <c r="G36" s="90"/>
      <c r="H36" s="90"/>
      <c r="I36" s="91"/>
      <c r="J36" s="91"/>
      <c r="K36" s="91"/>
      <c r="L36" s="91"/>
      <c r="M36" s="91"/>
      <c r="N36" s="91"/>
      <c r="O36" s="91"/>
      <c r="P36" s="91"/>
      <c r="Q36" s="91"/>
      <c r="R36" s="91"/>
      <c r="S36" s="91"/>
      <c r="T36" s="91"/>
      <c r="U36" s="43"/>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row>
    <row r="37" spans="2:52" s="16" customFormat="1" x14ac:dyDescent="0.2">
      <c r="B37" s="17"/>
      <c r="C37" s="7"/>
      <c r="D37" s="39"/>
      <c r="E37" s="39"/>
      <c r="F37" s="63"/>
      <c r="G37" s="92"/>
      <c r="H37" s="92"/>
      <c r="I37" s="93"/>
      <c r="J37" s="93"/>
      <c r="K37" s="93"/>
      <c r="L37" s="93"/>
      <c r="M37" s="93"/>
      <c r="N37" s="93"/>
      <c r="O37" s="93"/>
      <c r="P37" s="93"/>
      <c r="Q37" s="93"/>
      <c r="R37" s="93"/>
      <c r="S37" s="93"/>
      <c r="T37" s="93"/>
      <c r="U37" s="43"/>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row>
    <row r="38" spans="2:52" s="16" customFormat="1" x14ac:dyDescent="0.2">
      <c r="B38" s="17" t="s">
        <v>35</v>
      </c>
      <c r="C38" s="7"/>
      <c r="D38" s="39"/>
      <c r="E38" s="39"/>
      <c r="F38" s="63"/>
      <c r="G38" s="94"/>
      <c r="H38" s="94"/>
      <c r="I38" s="95"/>
      <c r="J38" s="95"/>
      <c r="K38" s="95"/>
      <c r="L38" s="95"/>
      <c r="M38" s="95"/>
      <c r="N38" s="95"/>
      <c r="O38" s="95"/>
      <c r="P38" s="95"/>
      <c r="Q38" s="95"/>
      <c r="R38" s="95"/>
      <c r="S38" s="95"/>
      <c r="T38" s="95"/>
      <c r="U38" s="43"/>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row>
    <row r="39" spans="2:52" s="16" customFormat="1" x14ac:dyDescent="0.2">
      <c r="B39" s="17"/>
      <c r="C39" s="7"/>
      <c r="D39" s="39"/>
      <c r="E39" s="39"/>
      <c r="F39" s="63"/>
      <c r="G39" s="94"/>
      <c r="H39" s="94"/>
      <c r="I39" s="95"/>
      <c r="J39" s="95"/>
      <c r="K39" s="95"/>
      <c r="L39" s="95"/>
      <c r="M39" s="95"/>
      <c r="N39" s="95"/>
      <c r="O39" s="95"/>
      <c r="P39" s="95"/>
      <c r="Q39" s="95"/>
      <c r="R39" s="95"/>
      <c r="S39" s="95"/>
      <c r="T39" s="95"/>
      <c r="U39" s="43"/>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row>
    <row r="40" spans="2:52" s="16" customFormat="1" x14ac:dyDescent="0.2">
      <c r="B40" s="17" t="s">
        <v>36</v>
      </c>
      <c r="C40" s="96"/>
      <c r="D40" s="39"/>
      <c r="E40" s="97"/>
      <c r="F40" s="20">
        <v>3</v>
      </c>
      <c r="G40" s="60">
        <f>+[13]summary!$H$13</f>
        <v>146000000</v>
      </c>
      <c r="H40" s="60">
        <f>+[14]summary!$M$13</f>
        <v>37582688</v>
      </c>
      <c r="I40" s="41">
        <f>+[15]summary!$R$13</f>
        <v>16125619</v>
      </c>
      <c r="J40" s="41">
        <f>+[16]summary!$W$13</f>
        <v>11567828</v>
      </c>
      <c r="K40" s="41">
        <f>+[13]summary!$AB$13</f>
        <v>26289577</v>
      </c>
      <c r="L40" s="41">
        <f>+[17]summary!$AG$13</f>
        <v>-5974831</v>
      </c>
      <c r="M40" s="41">
        <f>+[18]summary!$AL$13</f>
        <v>1315362</v>
      </c>
      <c r="N40" s="41"/>
      <c r="O40" s="41"/>
      <c r="P40" s="41"/>
      <c r="Q40" s="41"/>
      <c r="R40" s="41"/>
      <c r="S40" s="41"/>
      <c r="T40" s="40">
        <f>SUM(H40:S40)</f>
        <v>86906243</v>
      </c>
      <c r="U40" s="43"/>
      <c r="V40" s="56"/>
      <c r="W40" s="55"/>
      <c r="X40" s="55"/>
      <c r="Y40" s="55"/>
      <c r="Z40" s="55"/>
      <c r="AA40" s="55"/>
      <c r="AB40" s="55"/>
      <c r="AC40" s="55"/>
      <c r="AD40" s="55"/>
      <c r="AE40" s="55"/>
      <c r="AF40" s="55"/>
      <c r="AG40" s="55"/>
      <c r="AH40" s="55"/>
      <c r="AI40" s="55"/>
      <c r="AJ40" s="56"/>
      <c r="AK40" s="56"/>
      <c r="AL40" s="56"/>
      <c r="AM40" s="56"/>
      <c r="AN40" s="56"/>
      <c r="AO40" s="56"/>
      <c r="AP40" s="56"/>
      <c r="AQ40" s="56"/>
      <c r="AR40" s="56"/>
      <c r="AS40" s="56"/>
      <c r="AT40" s="56"/>
      <c r="AU40" s="56"/>
      <c r="AV40" s="56"/>
      <c r="AW40" s="56"/>
      <c r="AX40" s="56"/>
    </row>
    <row r="41" spans="2:52" s="16" customFormat="1" x14ac:dyDescent="0.2">
      <c r="B41" s="17"/>
      <c r="C41" s="96"/>
      <c r="D41" s="39"/>
      <c r="E41" s="39"/>
      <c r="F41" s="20"/>
      <c r="G41" s="60"/>
      <c r="H41" s="60"/>
      <c r="I41" s="41"/>
      <c r="J41" s="41"/>
      <c r="K41" s="41"/>
      <c r="L41" s="41"/>
      <c r="M41" s="41"/>
      <c r="N41" s="41"/>
      <c r="O41" s="41"/>
      <c r="P41" s="41"/>
      <c r="Q41" s="41"/>
      <c r="R41" s="41"/>
      <c r="S41" s="41"/>
      <c r="T41" s="41"/>
      <c r="U41" s="43"/>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row>
    <row r="42" spans="2:52" s="16" customFormat="1" x14ac:dyDescent="0.2">
      <c r="B42" s="17" t="s">
        <v>37</v>
      </c>
      <c r="C42" s="96"/>
      <c r="D42" s="39"/>
      <c r="E42" s="39"/>
      <c r="F42" s="20">
        <v>3</v>
      </c>
      <c r="G42" s="60">
        <f>+[13]summary!$H$23</f>
        <v>410035000</v>
      </c>
      <c r="H42" s="60">
        <f>+[14]summary!$M$23</f>
        <v>32850713</v>
      </c>
      <c r="I42" s="41">
        <f>+[15]summary!$R$23</f>
        <v>40638036.743999995</v>
      </c>
      <c r="J42" s="41">
        <f>+[16]summary!$W$23</f>
        <v>43402900</v>
      </c>
      <c r="K42" s="41">
        <f>+[13]summary!$AB$23</f>
        <v>60600922</v>
      </c>
      <c r="L42" s="41">
        <f>+[17]summary!$AG$23</f>
        <v>37229982</v>
      </c>
      <c r="M42" s="41">
        <f>+[18]summary!$AL$23</f>
        <v>50427153</v>
      </c>
      <c r="N42" s="41"/>
      <c r="O42" s="41"/>
      <c r="P42" s="41"/>
      <c r="Q42" s="41"/>
      <c r="R42" s="41"/>
      <c r="S42" s="41"/>
      <c r="T42" s="40">
        <f>SUM(H42:S42)</f>
        <v>265149706.74399999</v>
      </c>
      <c r="U42" s="43"/>
      <c r="V42" s="56"/>
      <c r="W42" s="55"/>
      <c r="X42" s="55"/>
      <c r="Y42" s="55"/>
      <c r="Z42" s="55"/>
      <c r="AA42" s="55"/>
      <c r="AB42" s="55"/>
      <c r="AC42" s="55"/>
      <c r="AD42" s="55"/>
      <c r="AE42" s="55"/>
      <c r="AF42" s="55"/>
      <c r="AG42" s="55"/>
      <c r="AH42" s="55"/>
      <c r="AI42" s="55"/>
      <c r="AJ42" s="56"/>
      <c r="AK42" s="56"/>
      <c r="AL42" s="56"/>
      <c r="AM42" s="56"/>
      <c r="AN42" s="56"/>
      <c r="AO42" s="56"/>
      <c r="AP42" s="56"/>
      <c r="AQ42" s="56"/>
      <c r="AR42" s="56"/>
      <c r="AS42" s="56"/>
      <c r="AT42" s="56"/>
      <c r="AU42" s="56"/>
      <c r="AV42" s="56"/>
      <c r="AW42" s="56"/>
      <c r="AX42" s="56"/>
    </row>
    <row r="43" spans="2:52" s="16" customFormat="1" x14ac:dyDescent="0.2">
      <c r="B43" s="19"/>
      <c r="C43" s="39"/>
      <c r="D43" s="39"/>
      <c r="E43" s="39"/>
      <c r="F43" s="20"/>
      <c r="G43" s="49"/>
      <c r="H43" s="49"/>
      <c r="I43" s="52"/>
      <c r="J43" s="52"/>
      <c r="K43" s="52"/>
      <c r="L43" s="52"/>
      <c r="M43" s="52"/>
      <c r="N43" s="52"/>
      <c r="O43" s="52"/>
      <c r="P43" s="52"/>
      <c r="Q43" s="52"/>
      <c r="R43" s="52"/>
      <c r="S43" s="52"/>
      <c r="T43" s="52"/>
      <c r="U43" s="43"/>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row>
    <row r="44" spans="2:52" s="16" customFormat="1" x14ac:dyDescent="0.2">
      <c r="B44" s="17" t="s">
        <v>38</v>
      </c>
      <c r="C44" s="96"/>
      <c r="D44" s="39"/>
      <c r="E44" s="39"/>
      <c r="F44" s="20">
        <v>3</v>
      </c>
      <c r="G44" s="35">
        <f>+[13]summary!$H$44</f>
        <v>110568000</v>
      </c>
      <c r="H44" s="35">
        <f>+[14]summary!$M$45</f>
        <v>-777665</v>
      </c>
      <c r="I44" s="40">
        <f>+[15]summary!$R$45</f>
        <v>-4931986</v>
      </c>
      <c r="J44" s="40">
        <f>+[16]summary!$W$44</f>
        <v>-8699700</v>
      </c>
      <c r="K44" s="40">
        <f>+[13]summary!$AB$44</f>
        <v>86911584</v>
      </c>
      <c r="L44" s="40">
        <f>+[17]summary!$AG$44</f>
        <v>0</v>
      </c>
      <c r="M44" s="40">
        <f>+[18]summary!$AL$44</f>
        <v>0</v>
      </c>
      <c r="N44" s="40"/>
      <c r="O44" s="40"/>
      <c r="P44" s="40"/>
      <c r="Q44" s="40"/>
      <c r="R44" s="40"/>
      <c r="S44" s="40"/>
      <c r="T44" s="40">
        <f>SUM(H44:S44)</f>
        <v>72502233</v>
      </c>
      <c r="U44" s="98"/>
      <c r="V44" s="99"/>
      <c r="W44" s="55"/>
      <c r="X44" s="55"/>
      <c r="Y44" s="55"/>
      <c r="Z44" s="55"/>
      <c r="AA44" s="55"/>
      <c r="AB44" s="55"/>
      <c r="AC44" s="55"/>
      <c r="AD44" s="55"/>
      <c r="AE44" s="55"/>
      <c r="AF44" s="55"/>
      <c r="AG44" s="55"/>
      <c r="AH44" s="55"/>
      <c r="AI44" s="55"/>
      <c r="AJ44" s="56"/>
      <c r="AK44" s="56"/>
      <c r="AL44" s="56"/>
      <c r="AM44" s="56"/>
      <c r="AN44" s="56"/>
      <c r="AO44" s="56"/>
      <c r="AP44" s="56"/>
      <c r="AQ44" s="56"/>
      <c r="AR44" s="56"/>
      <c r="AS44" s="56"/>
      <c r="AT44" s="56"/>
      <c r="AU44" s="56"/>
      <c r="AV44" s="56"/>
      <c r="AW44" s="56"/>
      <c r="AX44" s="56"/>
    </row>
    <row r="45" spans="2:52" s="16" customFormat="1" x14ac:dyDescent="0.2">
      <c r="B45" s="17"/>
      <c r="C45" s="96"/>
      <c r="D45" s="39"/>
      <c r="E45" s="39"/>
      <c r="F45" s="48"/>
      <c r="G45" s="49"/>
      <c r="H45" s="49"/>
      <c r="I45" s="52"/>
      <c r="J45" s="52"/>
      <c r="K45" s="52"/>
      <c r="L45" s="52"/>
      <c r="M45" s="52"/>
      <c r="N45" s="52"/>
      <c r="O45" s="52"/>
      <c r="P45" s="52"/>
      <c r="Q45" s="52"/>
      <c r="R45" s="52"/>
      <c r="S45" s="52"/>
      <c r="T45" s="52"/>
      <c r="U45" s="98"/>
      <c r="V45" s="99"/>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row>
    <row r="46" spans="2:52" s="16" customFormat="1" ht="15" x14ac:dyDescent="0.2">
      <c r="B46" s="17" t="s">
        <v>45</v>
      </c>
      <c r="C46" s="96"/>
      <c r="D46" s="39"/>
      <c r="E46" s="39"/>
      <c r="F46" s="20">
        <v>3</v>
      </c>
      <c r="G46" s="35">
        <f>+[13]summary!$H$67</f>
        <v>43058433</v>
      </c>
      <c r="H46" s="35">
        <f>+[14]summary!$M$68</f>
        <v>-18499278.953769997</v>
      </c>
      <c r="I46" s="40">
        <f>+[15]summary!$R$67</f>
        <v>537410.36356998235</v>
      </c>
      <c r="J46" s="40">
        <f>+[16]summary!$W$67</f>
        <v>-23974845.376640022</v>
      </c>
      <c r="K46" s="40">
        <f>+[13]summary!$AB$67</f>
        <v>-39272434.960170001</v>
      </c>
      <c r="L46" s="40">
        <f>+[17]summary!$AG$67</f>
        <v>32418642.456500009</v>
      </c>
      <c r="M46" s="40">
        <f>+[18]summary!$AL$67</f>
        <v>-8875713.0291699618</v>
      </c>
      <c r="N46" s="40"/>
      <c r="O46" s="40"/>
      <c r="P46" s="40"/>
      <c r="Q46" s="40"/>
      <c r="R46" s="40"/>
      <c r="S46" s="40"/>
      <c r="T46" s="40">
        <f>SUM(H46:S46)</f>
        <v>-57666219.499679983</v>
      </c>
      <c r="U46" s="98"/>
      <c r="V46" s="99"/>
      <c r="W46" s="55"/>
      <c r="X46" s="55"/>
      <c r="Y46" s="55"/>
      <c r="Z46" s="55"/>
      <c r="AA46" s="55"/>
      <c r="AB46" s="55"/>
      <c r="AC46" s="55"/>
      <c r="AD46" s="55"/>
      <c r="AE46" s="55"/>
      <c r="AF46" s="55"/>
      <c r="AG46" s="55"/>
      <c r="AH46" s="55"/>
      <c r="AI46" s="55"/>
      <c r="AJ46" s="56"/>
      <c r="AK46" s="56"/>
      <c r="AL46" s="56"/>
      <c r="AM46" s="56"/>
      <c r="AN46" s="56"/>
      <c r="AO46" s="56"/>
      <c r="AP46" s="56"/>
      <c r="AQ46" s="56"/>
      <c r="AR46" s="56"/>
      <c r="AS46" s="56"/>
      <c r="AT46" s="56"/>
      <c r="AU46" s="56"/>
      <c r="AV46" s="56"/>
      <c r="AW46" s="56"/>
      <c r="AX46" s="56"/>
    </row>
    <row r="47" spans="2:52" s="16" customFormat="1" x14ac:dyDescent="0.2">
      <c r="B47" s="17"/>
      <c r="C47" s="96"/>
      <c r="D47" s="39"/>
      <c r="E47" s="39"/>
      <c r="F47" s="20"/>
      <c r="G47" s="100"/>
      <c r="H47" s="100"/>
      <c r="I47" s="101"/>
      <c r="J47" s="101"/>
      <c r="K47" s="101"/>
      <c r="L47" s="101"/>
      <c r="M47" s="101"/>
      <c r="N47" s="101"/>
      <c r="O47" s="101"/>
      <c r="P47" s="101"/>
      <c r="Q47" s="101"/>
      <c r="R47" s="101"/>
      <c r="S47" s="101"/>
      <c r="T47" s="101"/>
      <c r="U47" s="98"/>
      <c r="V47" s="99"/>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row>
    <row r="48" spans="2:52" s="16" customFormat="1" x14ac:dyDescent="0.2">
      <c r="B48" s="17" t="s">
        <v>39</v>
      </c>
      <c r="C48" s="7"/>
      <c r="D48" s="7"/>
      <c r="E48" s="7"/>
      <c r="F48" s="48"/>
      <c r="G48" s="103">
        <f>+G40+G42+G44+G46</f>
        <v>709661433</v>
      </c>
      <c r="H48" s="103">
        <f t="shared" ref="H48:S48" si="4">+H40+H42+H44+H46</f>
        <v>51156457.046230003</v>
      </c>
      <c r="I48" s="103">
        <f t="shared" si="4"/>
        <v>52369080.107569978</v>
      </c>
      <c r="J48" s="103">
        <f>+J40+J42+J44+J46</f>
        <v>22296182.623359978</v>
      </c>
      <c r="K48" s="103">
        <f t="shared" si="4"/>
        <v>134529648.03983</v>
      </c>
      <c r="L48" s="103">
        <f>+L40+L42+L44+L46</f>
        <v>63673793.456500009</v>
      </c>
      <c r="M48" s="103">
        <f>+M40+M42+M44+M46</f>
        <v>42866801.970830038</v>
      </c>
      <c r="N48" s="103">
        <f t="shared" si="4"/>
        <v>0</v>
      </c>
      <c r="O48" s="103">
        <f t="shared" si="4"/>
        <v>0</v>
      </c>
      <c r="P48" s="103">
        <f t="shared" si="4"/>
        <v>0</v>
      </c>
      <c r="Q48" s="103">
        <f t="shared" si="4"/>
        <v>0</v>
      </c>
      <c r="R48" s="103">
        <f t="shared" si="4"/>
        <v>0</v>
      </c>
      <c r="S48" s="103">
        <f t="shared" si="4"/>
        <v>0</v>
      </c>
      <c r="T48" s="104">
        <f>+T40+T42+T44+T46</f>
        <v>366891963.24431998</v>
      </c>
      <c r="U48" s="98"/>
      <c r="V48" s="105"/>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row>
    <row r="49" spans="1:50" s="16" customFormat="1" x14ac:dyDescent="0.2">
      <c r="B49" s="106"/>
      <c r="C49" s="107"/>
      <c r="D49" s="107"/>
      <c r="E49" s="107"/>
      <c r="F49" s="108"/>
      <c r="G49" s="109"/>
      <c r="H49" s="109"/>
      <c r="I49" s="110"/>
      <c r="J49" s="110"/>
      <c r="K49" s="110"/>
      <c r="L49" s="110"/>
      <c r="M49" s="110"/>
      <c r="N49" s="110"/>
      <c r="O49" s="110"/>
      <c r="P49" s="110"/>
      <c r="Q49" s="110"/>
      <c r="R49" s="110"/>
      <c r="S49" s="110"/>
      <c r="T49" s="110"/>
      <c r="U49" s="43"/>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row>
    <row r="50" spans="1:50" s="16" customFormat="1" ht="13.5" x14ac:dyDescent="0.25">
      <c r="B50" s="113" t="s">
        <v>40</v>
      </c>
      <c r="C50" s="39"/>
      <c r="D50" s="39"/>
      <c r="E50" s="39"/>
      <c r="F50" s="114"/>
      <c r="G50" s="53"/>
      <c r="H50" s="53"/>
      <c r="I50" s="53"/>
      <c r="J50" s="53"/>
      <c r="K50" s="53"/>
      <c r="L50" s="53"/>
      <c r="M50" s="53"/>
      <c r="N50" s="53"/>
      <c r="O50" s="53"/>
      <c r="P50" s="53"/>
      <c r="Q50" s="53"/>
      <c r="R50" s="53"/>
      <c r="S50" s="53"/>
      <c r="T50" s="53"/>
      <c r="U50" s="115"/>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row>
    <row r="51" spans="1:50" s="16" customFormat="1" ht="13.5" x14ac:dyDescent="0.25">
      <c r="B51" s="113" t="s">
        <v>41</v>
      </c>
      <c r="C51" s="39"/>
      <c r="D51" s="39"/>
      <c r="E51" s="39"/>
      <c r="F51" s="114"/>
      <c r="G51" s="53"/>
      <c r="H51" s="53"/>
      <c r="I51" s="53"/>
      <c r="J51" s="53"/>
      <c r="K51" s="53"/>
      <c r="L51" s="53"/>
      <c r="M51" s="53"/>
      <c r="N51" s="53"/>
      <c r="O51" s="53"/>
      <c r="P51" s="53"/>
      <c r="Q51" s="53"/>
      <c r="R51" s="53"/>
      <c r="S51" s="53"/>
      <c r="T51" s="53"/>
      <c r="U51" s="115"/>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row>
    <row r="52" spans="1:50" x14ac:dyDescent="0.25">
      <c r="A52" s="116"/>
      <c r="G52" s="117"/>
      <c r="H52" s="118"/>
      <c r="I52" s="118"/>
      <c r="J52" s="118"/>
      <c r="K52" s="118"/>
      <c r="L52" s="118"/>
      <c r="M52" s="118"/>
      <c r="N52" s="118"/>
      <c r="O52" s="118"/>
      <c r="P52" s="118"/>
      <c r="Q52" s="118"/>
      <c r="R52" s="118"/>
      <c r="S52" s="118"/>
      <c r="T52" s="118"/>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row>
    <row r="53" spans="1:50" hidden="1" x14ac:dyDescent="0.25">
      <c r="G53" s="118">
        <f>+G35+G48</f>
        <v>-0.44774150848388672</v>
      </c>
      <c r="H53" s="118">
        <f t="shared" ref="H53:S53" si="5">+H35+H48</f>
        <v>0</v>
      </c>
      <c r="I53" s="118">
        <f t="shared" si="5"/>
        <v>0</v>
      </c>
      <c r="J53" s="118">
        <f t="shared" si="5"/>
        <v>0</v>
      </c>
      <c r="K53" s="118">
        <f t="shared" si="5"/>
        <v>0</v>
      </c>
      <c r="L53" s="118">
        <f t="shared" si="5"/>
        <v>0</v>
      </c>
      <c r="M53" s="118">
        <f>+M35+M48</f>
        <v>0</v>
      </c>
      <c r="N53" s="118">
        <f t="shared" si="5"/>
        <v>0</v>
      </c>
      <c r="O53" s="118">
        <f t="shared" si="5"/>
        <v>0</v>
      </c>
      <c r="P53" s="118">
        <f t="shared" si="5"/>
        <v>0</v>
      </c>
      <c r="Q53" s="118">
        <f t="shared" si="5"/>
        <v>0</v>
      </c>
      <c r="R53" s="118">
        <f t="shared" si="5"/>
        <v>0</v>
      </c>
      <c r="S53" s="118">
        <f t="shared" si="5"/>
        <v>0</v>
      </c>
      <c r="T53" s="118">
        <f>+T35+T48</f>
        <v>0</v>
      </c>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row>
    <row r="54" spans="1:50" hidden="1" x14ac:dyDescent="0.25">
      <c r="G54" s="118"/>
      <c r="H54" s="118"/>
      <c r="I54" s="118"/>
      <c r="J54" s="118"/>
      <c r="K54" s="118"/>
      <c r="L54" s="118"/>
      <c r="M54" s="118"/>
      <c r="N54" s="118"/>
      <c r="O54" s="118"/>
      <c r="P54" s="118"/>
      <c r="Q54" s="118"/>
      <c r="R54" s="118"/>
      <c r="S54" s="118"/>
      <c r="T54" s="118"/>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row>
    <row r="55" spans="1:50" hidden="1" x14ac:dyDescent="0.25">
      <c r="G55" s="118"/>
      <c r="H55" s="118"/>
      <c r="I55" s="118"/>
      <c r="J55" s="118"/>
      <c r="K55" s="118"/>
      <c r="L55" s="118"/>
      <c r="M55" s="118"/>
      <c r="N55" s="118"/>
      <c r="O55" s="118"/>
      <c r="P55" s="118"/>
      <c r="Q55" s="118"/>
      <c r="R55" s="118"/>
      <c r="S55" s="118"/>
      <c r="T55" s="118"/>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row>
    <row r="56" spans="1:50" hidden="1" x14ac:dyDescent="0.25">
      <c r="C56" s="10" t="s">
        <v>42</v>
      </c>
      <c r="F56" s="10" t="s">
        <v>43</v>
      </c>
      <c r="G56" s="118"/>
      <c r="H56" s="118"/>
      <c r="I56" s="118"/>
      <c r="J56" s="118"/>
      <c r="K56" s="118"/>
      <c r="L56" s="118"/>
      <c r="M56" s="118"/>
      <c r="N56" s="118"/>
      <c r="O56" s="118"/>
      <c r="P56" s="118"/>
      <c r="Q56" s="118"/>
      <c r="R56" s="118"/>
      <c r="S56" s="118"/>
      <c r="T56" s="118"/>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row>
    <row r="57" spans="1:50" hidden="1" x14ac:dyDescent="0.25">
      <c r="G57" s="118"/>
      <c r="H57" s="118"/>
      <c r="I57" s="118"/>
      <c r="J57" s="118"/>
      <c r="K57" s="118"/>
      <c r="L57" s="118"/>
      <c r="M57" s="118"/>
      <c r="N57" s="118"/>
      <c r="O57" s="118"/>
      <c r="P57" s="118"/>
      <c r="Q57" s="118"/>
      <c r="R57" s="118"/>
      <c r="S57" s="118"/>
      <c r="T57" s="118"/>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row>
    <row r="58" spans="1:50" hidden="1" x14ac:dyDescent="0.25">
      <c r="G58" s="118"/>
      <c r="H58" s="118"/>
      <c r="I58" s="118"/>
      <c r="J58" s="118"/>
      <c r="K58" s="118"/>
      <c r="L58" s="118"/>
      <c r="M58" s="118"/>
      <c r="N58" s="118"/>
      <c r="O58" s="118"/>
      <c r="P58" s="118"/>
      <c r="Q58" s="118"/>
      <c r="R58" s="118"/>
      <c r="S58" s="118"/>
      <c r="T58" s="118"/>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row>
    <row r="59" spans="1:50" ht="12.75" hidden="1" customHeight="1" x14ac:dyDescent="0.25">
      <c r="C59" s="10" t="s">
        <v>44</v>
      </c>
      <c r="F59" s="10" t="s">
        <v>44</v>
      </c>
      <c r="G59" s="118"/>
      <c r="H59" s="118"/>
      <c r="I59" s="118"/>
      <c r="J59" s="118"/>
      <c r="K59" s="118"/>
      <c r="L59" s="118"/>
      <c r="M59" s="118"/>
      <c r="N59" s="118"/>
      <c r="O59" s="118"/>
      <c r="P59" s="118"/>
      <c r="Q59" s="118"/>
      <c r="R59" s="118"/>
      <c r="S59" s="118"/>
      <c r="T59" s="118"/>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row>
    <row r="60" spans="1:50" hidden="1" x14ac:dyDescent="0.25">
      <c r="G60" s="118"/>
      <c r="H60" s="118"/>
      <c r="I60" s="118"/>
      <c r="J60" s="118"/>
      <c r="K60" s="118"/>
      <c r="L60" s="118"/>
      <c r="M60" s="118"/>
      <c r="N60" s="118"/>
      <c r="O60" s="118"/>
      <c r="P60" s="118"/>
      <c r="Q60" s="118"/>
      <c r="R60" s="118"/>
      <c r="S60" s="118"/>
      <c r="T60" s="118"/>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row>
    <row r="61" spans="1:50" x14ac:dyDescent="0.25">
      <c r="G61" s="118"/>
      <c r="H61" s="118"/>
      <c r="I61" s="118"/>
      <c r="J61" s="118"/>
      <c r="K61" s="118"/>
      <c r="L61" s="118"/>
      <c r="M61" s="118"/>
      <c r="N61" s="118"/>
      <c r="O61" s="118"/>
      <c r="P61" s="118"/>
      <c r="Q61" s="118"/>
      <c r="R61" s="118"/>
      <c r="S61" s="118"/>
      <c r="T61" s="118"/>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row>
    <row r="62" spans="1:50" x14ac:dyDescent="0.25">
      <c r="G62" s="118"/>
      <c r="H62" s="118"/>
      <c r="I62" s="118"/>
      <c r="J62" s="118"/>
      <c r="K62" s="118"/>
      <c r="L62" s="118"/>
      <c r="M62" s="118"/>
      <c r="N62" s="118"/>
      <c r="O62" s="118"/>
      <c r="P62" s="118"/>
      <c r="Q62" s="118"/>
      <c r="R62" s="118"/>
      <c r="S62" s="118"/>
      <c r="T62" s="118"/>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row>
    <row r="63" spans="1:50" x14ac:dyDescent="0.25">
      <c r="G63" s="118"/>
      <c r="H63" s="118"/>
      <c r="I63" s="118"/>
      <c r="J63" s="118"/>
      <c r="K63" s="118"/>
      <c r="L63" s="118"/>
      <c r="M63" s="118"/>
      <c r="N63" s="118"/>
      <c r="O63" s="118"/>
      <c r="P63" s="118"/>
      <c r="Q63" s="118"/>
      <c r="R63" s="118"/>
      <c r="S63" s="118"/>
      <c r="T63" s="118"/>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row>
    <row r="64" spans="1:50" x14ac:dyDescent="0.25">
      <c r="G64" s="118"/>
      <c r="H64" s="118"/>
      <c r="I64" s="118"/>
      <c r="J64" s="118"/>
      <c r="K64" s="118"/>
      <c r="L64" s="118"/>
      <c r="M64" s="118"/>
      <c r="N64" s="118"/>
      <c r="O64" s="118"/>
      <c r="P64" s="118"/>
      <c r="Q64" s="118"/>
      <c r="R64" s="118"/>
      <c r="S64" s="118"/>
      <c r="T64" s="118"/>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row>
    <row r="65" spans="7:50" x14ac:dyDescent="0.25">
      <c r="G65" s="118"/>
      <c r="H65" s="118"/>
      <c r="I65" s="118"/>
      <c r="J65" s="118"/>
      <c r="K65" s="118"/>
      <c r="L65" s="118"/>
      <c r="M65" s="118"/>
      <c r="N65" s="118"/>
      <c r="O65" s="118"/>
      <c r="P65" s="118"/>
      <c r="Q65" s="118"/>
      <c r="R65" s="118"/>
      <c r="S65" s="118"/>
      <c r="T65" s="118"/>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row>
    <row r="66" spans="7:50" x14ac:dyDescent="0.25">
      <c r="G66" s="118"/>
      <c r="H66" s="118"/>
      <c r="I66" s="118"/>
      <c r="J66" s="118"/>
      <c r="K66" s="118"/>
      <c r="L66" s="118"/>
      <c r="M66" s="118"/>
      <c r="N66" s="118"/>
      <c r="O66" s="118"/>
      <c r="P66" s="118"/>
      <c r="Q66" s="118"/>
      <c r="R66" s="118"/>
      <c r="S66" s="118"/>
      <c r="T66" s="118"/>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row>
    <row r="67" spans="7:50" x14ac:dyDescent="0.25">
      <c r="G67" s="118"/>
      <c r="H67" s="118"/>
      <c r="I67" s="118"/>
      <c r="J67" s="118"/>
      <c r="K67" s="118"/>
      <c r="L67" s="118"/>
      <c r="M67" s="118"/>
      <c r="N67" s="118"/>
      <c r="O67" s="118"/>
      <c r="P67" s="118"/>
      <c r="Q67" s="118"/>
      <c r="R67" s="118"/>
      <c r="S67" s="118"/>
      <c r="T67" s="118"/>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row>
    <row r="68" spans="7:50" x14ac:dyDescent="0.25">
      <c r="G68" s="118"/>
      <c r="H68" s="118"/>
      <c r="I68" s="118"/>
      <c r="J68" s="118"/>
      <c r="K68" s="118"/>
      <c r="L68" s="118"/>
      <c r="M68" s="118"/>
      <c r="N68" s="118"/>
      <c r="O68" s="118"/>
      <c r="P68" s="118"/>
      <c r="Q68" s="118"/>
      <c r="R68" s="118"/>
      <c r="S68" s="118"/>
      <c r="T68" s="118"/>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row>
    <row r="69" spans="7:50" x14ac:dyDescent="0.25">
      <c r="G69" s="118"/>
      <c r="H69" s="118"/>
      <c r="I69" s="118"/>
      <c r="J69" s="118"/>
      <c r="K69" s="118"/>
      <c r="L69" s="118"/>
      <c r="M69" s="118"/>
      <c r="N69" s="118"/>
      <c r="O69" s="118"/>
      <c r="P69" s="118"/>
      <c r="Q69" s="118"/>
      <c r="R69" s="118"/>
      <c r="S69" s="118"/>
      <c r="T69" s="118"/>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row>
    <row r="70" spans="7:50" x14ac:dyDescent="0.25">
      <c r="G70" s="118"/>
      <c r="H70" s="118"/>
      <c r="I70" s="118"/>
      <c r="J70" s="118"/>
      <c r="K70" s="118"/>
      <c r="L70" s="118"/>
      <c r="M70" s="118"/>
      <c r="N70" s="118"/>
      <c r="O70" s="118"/>
      <c r="P70" s="118"/>
      <c r="Q70" s="118"/>
      <c r="R70" s="118"/>
      <c r="S70" s="118"/>
      <c r="T70" s="118"/>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row>
    <row r="71" spans="7:50" x14ac:dyDescent="0.25">
      <c r="G71" s="118"/>
      <c r="H71" s="118"/>
      <c r="I71" s="118"/>
      <c r="J71" s="118"/>
      <c r="K71" s="118"/>
      <c r="L71" s="118"/>
      <c r="M71" s="118"/>
      <c r="N71" s="118"/>
      <c r="O71" s="118"/>
      <c r="P71" s="118"/>
      <c r="Q71" s="118"/>
      <c r="R71" s="118"/>
      <c r="S71" s="118"/>
      <c r="T71" s="118"/>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row>
    <row r="72" spans="7:50" x14ac:dyDescent="0.25">
      <c r="G72" s="118"/>
      <c r="H72" s="118"/>
      <c r="I72" s="118"/>
      <c r="J72" s="118"/>
      <c r="K72" s="118"/>
      <c r="L72" s="118"/>
      <c r="M72" s="118"/>
      <c r="N72" s="118"/>
      <c r="O72" s="118"/>
      <c r="P72" s="118"/>
      <c r="Q72" s="118"/>
      <c r="R72" s="118"/>
      <c r="S72" s="118"/>
      <c r="T72" s="118"/>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row>
    <row r="73" spans="7:50" x14ac:dyDescent="0.25">
      <c r="G73" s="118"/>
      <c r="H73" s="118"/>
      <c r="I73" s="118"/>
      <c r="J73" s="118"/>
      <c r="K73" s="118"/>
      <c r="L73" s="118"/>
      <c r="M73" s="118"/>
      <c r="N73" s="118"/>
      <c r="O73" s="118"/>
      <c r="P73" s="118"/>
      <c r="Q73" s="118"/>
      <c r="R73" s="118"/>
      <c r="S73" s="118"/>
      <c r="T73" s="118"/>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row>
    <row r="74" spans="7:50" x14ac:dyDescent="0.25">
      <c r="G74" s="118"/>
      <c r="H74" s="118"/>
      <c r="I74" s="118"/>
      <c r="J74" s="118"/>
      <c r="K74" s="118"/>
      <c r="L74" s="118"/>
      <c r="M74" s="118"/>
      <c r="N74" s="118"/>
      <c r="O74" s="118"/>
      <c r="P74" s="118"/>
      <c r="Q74" s="118"/>
      <c r="R74" s="118"/>
      <c r="S74" s="118"/>
      <c r="T74" s="118"/>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row>
    <row r="75" spans="7:50" x14ac:dyDescent="0.25">
      <c r="G75" s="118"/>
      <c r="H75" s="118"/>
      <c r="I75" s="118"/>
      <c r="J75" s="118"/>
      <c r="K75" s="118"/>
      <c r="L75" s="118"/>
      <c r="M75" s="118"/>
      <c r="N75" s="118"/>
      <c r="O75" s="118"/>
      <c r="P75" s="118"/>
      <c r="Q75" s="118"/>
      <c r="R75" s="118"/>
      <c r="S75" s="118"/>
      <c r="T75" s="118"/>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row>
    <row r="76" spans="7:50" x14ac:dyDescent="0.25">
      <c r="G76" s="118"/>
      <c r="H76" s="118"/>
      <c r="I76" s="118"/>
      <c r="J76" s="118"/>
      <c r="K76" s="118"/>
      <c r="L76" s="118"/>
      <c r="M76" s="118"/>
      <c r="N76" s="118"/>
      <c r="O76" s="118"/>
      <c r="P76" s="118"/>
      <c r="Q76" s="118"/>
      <c r="R76" s="118"/>
      <c r="S76" s="118"/>
      <c r="T76" s="118"/>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row>
    <row r="77" spans="7:50" x14ac:dyDescent="0.25">
      <c r="G77" s="118"/>
      <c r="H77" s="118"/>
      <c r="I77" s="118"/>
      <c r="J77" s="118"/>
      <c r="K77" s="118"/>
      <c r="L77" s="118"/>
      <c r="M77" s="118"/>
      <c r="N77" s="118"/>
      <c r="O77" s="118"/>
      <c r="P77" s="118"/>
      <c r="Q77" s="118"/>
      <c r="R77" s="118"/>
      <c r="S77" s="118"/>
      <c r="T77" s="118"/>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row>
    <row r="78" spans="7:50" x14ac:dyDescent="0.25">
      <c r="G78" s="118"/>
      <c r="H78" s="118"/>
      <c r="I78" s="118"/>
      <c r="J78" s="118"/>
      <c r="K78" s="118"/>
      <c r="L78" s="118"/>
      <c r="M78" s="118"/>
      <c r="N78" s="118"/>
      <c r="O78" s="118"/>
      <c r="P78" s="118"/>
      <c r="Q78" s="118"/>
      <c r="R78" s="118"/>
      <c r="S78" s="118"/>
      <c r="T78" s="118"/>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row>
    <row r="79" spans="7:50" x14ac:dyDescent="0.25">
      <c r="G79" s="118"/>
      <c r="H79" s="118"/>
      <c r="I79" s="118"/>
      <c r="J79" s="118"/>
      <c r="K79" s="118"/>
      <c r="L79" s="118"/>
      <c r="M79" s="118"/>
      <c r="N79" s="118"/>
      <c r="O79" s="118"/>
      <c r="P79" s="118"/>
      <c r="Q79" s="118"/>
      <c r="R79" s="118"/>
      <c r="S79" s="118"/>
      <c r="T79" s="118"/>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row>
    <row r="80" spans="7:50" x14ac:dyDescent="0.25">
      <c r="G80" s="118"/>
      <c r="H80" s="118"/>
      <c r="I80" s="118"/>
      <c r="J80" s="118"/>
      <c r="K80" s="118"/>
      <c r="L80" s="118"/>
      <c r="M80" s="118"/>
      <c r="N80" s="118"/>
      <c r="O80" s="118"/>
      <c r="P80" s="118"/>
      <c r="Q80" s="118"/>
      <c r="R80" s="118"/>
      <c r="S80" s="118"/>
      <c r="T80" s="118"/>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row>
    <row r="81" spans="7:50" x14ac:dyDescent="0.25">
      <c r="G81" s="118"/>
      <c r="H81" s="118"/>
      <c r="I81" s="118"/>
      <c r="J81" s="118"/>
      <c r="K81" s="118"/>
      <c r="L81" s="118"/>
      <c r="M81" s="118"/>
      <c r="N81" s="118"/>
      <c r="O81" s="118"/>
      <c r="P81" s="118"/>
      <c r="Q81" s="118"/>
      <c r="R81" s="118"/>
      <c r="S81" s="118"/>
      <c r="T81" s="118"/>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row>
    <row r="82" spans="7:50" x14ac:dyDescent="0.25">
      <c r="G82" s="118"/>
      <c r="H82" s="118"/>
      <c r="I82" s="118"/>
      <c r="J82" s="118"/>
      <c r="K82" s="118"/>
      <c r="L82" s="118"/>
      <c r="M82" s="118"/>
      <c r="N82" s="118"/>
      <c r="O82" s="118"/>
      <c r="P82" s="118"/>
      <c r="Q82" s="118"/>
      <c r="R82" s="118"/>
      <c r="S82" s="118"/>
      <c r="T82" s="118"/>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row>
    <row r="83" spans="7:50" x14ac:dyDescent="0.25">
      <c r="G83" s="118"/>
      <c r="H83" s="118"/>
      <c r="I83" s="118"/>
      <c r="J83" s="118"/>
      <c r="K83" s="118"/>
      <c r="L83" s="118"/>
      <c r="M83" s="118"/>
      <c r="N83" s="118"/>
      <c r="O83" s="118"/>
      <c r="P83" s="118"/>
      <c r="Q83" s="118"/>
      <c r="R83" s="118"/>
      <c r="S83" s="118"/>
      <c r="T83" s="118"/>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row>
    <row r="84" spans="7:50" x14ac:dyDescent="0.25">
      <c r="G84" s="118"/>
      <c r="H84" s="118"/>
      <c r="I84" s="118"/>
      <c r="J84" s="118"/>
      <c r="K84" s="118"/>
      <c r="L84" s="118"/>
      <c r="M84" s="118"/>
      <c r="N84" s="118"/>
      <c r="O84" s="118"/>
      <c r="P84" s="118"/>
      <c r="Q84" s="118"/>
      <c r="R84" s="118"/>
      <c r="S84" s="118"/>
      <c r="T84" s="118"/>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row>
    <row r="85" spans="7:50" x14ac:dyDescent="0.25">
      <c r="G85" s="118"/>
      <c r="H85" s="118"/>
      <c r="I85" s="118"/>
      <c r="J85" s="118"/>
      <c r="K85" s="118"/>
      <c r="L85" s="118"/>
      <c r="M85" s="118"/>
      <c r="N85" s="118"/>
      <c r="O85" s="118"/>
      <c r="P85" s="118"/>
      <c r="Q85" s="118"/>
      <c r="R85" s="118"/>
      <c r="S85" s="118"/>
      <c r="T85" s="118"/>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row>
    <row r="86" spans="7:50" x14ac:dyDescent="0.25">
      <c r="G86" s="118"/>
      <c r="H86" s="118"/>
      <c r="I86" s="118"/>
      <c r="J86" s="118"/>
      <c r="K86" s="118"/>
      <c r="L86" s="118"/>
      <c r="M86" s="118"/>
      <c r="N86" s="118"/>
      <c r="O86" s="118"/>
      <c r="P86" s="118"/>
      <c r="Q86" s="118"/>
      <c r="R86" s="118"/>
      <c r="S86" s="118"/>
      <c r="T86" s="118"/>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row>
    <row r="87" spans="7:50" x14ac:dyDescent="0.25">
      <c r="G87" s="118"/>
      <c r="H87" s="118"/>
      <c r="I87" s="118"/>
      <c r="J87" s="118"/>
      <c r="K87" s="118"/>
      <c r="L87" s="118"/>
      <c r="M87" s="118"/>
      <c r="N87" s="118"/>
      <c r="O87" s="118"/>
      <c r="P87" s="118"/>
      <c r="Q87" s="118"/>
      <c r="R87" s="118"/>
      <c r="S87" s="118"/>
      <c r="T87" s="118"/>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row>
    <row r="88" spans="7:50" x14ac:dyDescent="0.25">
      <c r="G88" s="118"/>
      <c r="H88" s="118"/>
      <c r="I88" s="118"/>
      <c r="J88" s="118"/>
      <c r="K88" s="118"/>
      <c r="L88" s="118"/>
      <c r="M88" s="118"/>
      <c r="N88" s="118"/>
      <c r="O88" s="118"/>
      <c r="P88" s="118"/>
      <c r="Q88" s="118"/>
      <c r="R88" s="118"/>
      <c r="S88" s="118"/>
      <c r="T88" s="118"/>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row>
    <row r="89" spans="7:50" x14ac:dyDescent="0.25">
      <c r="G89" s="118"/>
      <c r="H89" s="118"/>
      <c r="I89" s="118"/>
      <c r="J89" s="118"/>
      <c r="K89" s="118"/>
      <c r="L89" s="118"/>
      <c r="M89" s="118"/>
      <c r="N89" s="118"/>
      <c r="O89" s="118"/>
      <c r="P89" s="118"/>
      <c r="Q89" s="118"/>
      <c r="R89" s="118"/>
      <c r="S89" s="118"/>
      <c r="T89" s="118"/>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row>
    <row r="90" spans="7:50" x14ac:dyDescent="0.25">
      <c r="G90" s="118"/>
      <c r="H90" s="118"/>
      <c r="I90" s="118"/>
      <c r="J90" s="118"/>
      <c r="K90" s="118"/>
      <c r="L90" s="118"/>
      <c r="M90" s="118"/>
      <c r="N90" s="118"/>
      <c r="O90" s="118"/>
      <c r="P90" s="118"/>
      <c r="Q90" s="118"/>
      <c r="R90" s="118"/>
      <c r="S90" s="118"/>
      <c r="T90" s="118"/>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row>
    <row r="91" spans="7:50" x14ac:dyDescent="0.25">
      <c r="G91" s="118"/>
      <c r="H91" s="118"/>
      <c r="I91" s="118"/>
      <c r="J91" s="118"/>
      <c r="K91" s="118"/>
      <c r="L91" s="118"/>
      <c r="M91" s="118"/>
      <c r="N91" s="118"/>
      <c r="O91" s="118"/>
      <c r="P91" s="118"/>
      <c r="Q91" s="118"/>
      <c r="R91" s="118"/>
      <c r="S91" s="118"/>
      <c r="T91" s="118"/>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row>
    <row r="92" spans="7:50" x14ac:dyDescent="0.25">
      <c r="G92" s="118"/>
      <c r="H92" s="118"/>
      <c r="I92" s="118"/>
      <c r="J92" s="118"/>
      <c r="K92" s="118"/>
      <c r="L92" s="118"/>
      <c r="M92" s="118"/>
      <c r="N92" s="118"/>
      <c r="O92" s="118"/>
      <c r="P92" s="118"/>
      <c r="Q92" s="118"/>
      <c r="R92" s="118"/>
      <c r="S92" s="118"/>
      <c r="T92" s="118"/>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row>
    <row r="93" spans="7:50" x14ac:dyDescent="0.25">
      <c r="G93" s="118"/>
      <c r="H93" s="118"/>
      <c r="I93" s="118"/>
      <c r="J93" s="118"/>
      <c r="K93" s="118"/>
      <c r="L93" s="118"/>
      <c r="M93" s="118"/>
      <c r="N93" s="118"/>
      <c r="O93" s="118"/>
      <c r="P93" s="118"/>
      <c r="Q93" s="118"/>
      <c r="R93" s="118"/>
      <c r="S93" s="118"/>
      <c r="T93" s="118"/>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row>
    <row r="94" spans="7:50" x14ac:dyDescent="0.25">
      <c r="G94" s="118"/>
      <c r="H94" s="118"/>
      <c r="I94" s="118"/>
      <c r="J94" s="118"/>
      <c r="K94" s="118"/>
      <c r="L94" s="118"/>
      <c r="M94" s="118"/>
      <c r="N94" s="118"/>
      <c r="O94" s="118"/>
      <c r="P94" s="118"/>
      <c r="Q94" s="118"/>
      <c r="R94" s="118"/>
      <c r="S94" s="118"/>
      <c r="T94" s="118"/>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row>
    <row r="95" spans="7:50" x14ac:dyDescent="0.25">
      <c r="G95" s="118"/>
      <c r="H95" s="118"/>
      <c r="I95" s="118"/>
      <c r="J95" s="118"/>
      <c r="K95" s="118"/>
      <c r="L95" s="118"/>
      <c r="M95" s="118"/>
      <c r="N95" s="118"/>
      <c r="O95" s="118"/>
      <c r="P95" s="118"/>
      <c r="Q95" s="118"/>
      <c r="R95" s="118"/>
      <c r="S95" s="118"/>
      <c r="T95" s="118"/>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row>
    <row r="96" spans="7:50" x14ac:dyDescent="0.25">
      <c r="G96" s="118"/>
      <c r="H96" s="118"/>
      <c r="I96" s="118"/>
      <c r="J96" s="118"/>
      <c r="K96" s="118"/>
      <c r="L96" s="118"/>
      <c r="M96" s="118"/>
      <c r="N96" s="118"/>
      <c r="O96" s="118"/>
      <c r="P96" s="118"/>
      <c r="Q96" s="118"/>
      <c r="R96" s="118"/>
      <c r="S96" s="118"/>
      <c r="T96" s="118"/>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row>
    <row r="97" spans="7:50" x14ac:dyDescent="0.25">
      <c r="G97" s="118"/>
      <c r="H97" s="118"/>
      <c r="I97" s="118"/>
      <c r="J97" s="118"/>
      <c r="K97" s="118"/>
      <c r="L97" s="118"/>
      <c r="M97" s="118"/>
      <c r="N97" s="118"/>
      <c r="O97" s="118"/>
      <c r="P97" s="118"/>
      <c r="Q97" s="118"/>
      <c r="R97" s="118"/>
      <c r="S97" s="118"/>
      <c r="T97" s="118"/>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row>
    <row r="98" spans="7:50" x14ac:dyDescent="0.25">
      <c r="G98" s="118"/>
      <c r="H98" s="118"/>
      <c r="I98" s="118"/>
      <c r="J98" s="118"/>
      <c r="K98" s="118"/>
      <c r="L98" s="118"/>
      <c r="M98" s="118"/>
      <c r="N98" s="118"/>
      <c r="O98" s="118"/>
      <c r="P98" s="118"/>
      <c r="Q98" s="118"/>
      <c r="R98" s="118"/>
      <c r="S98" s="118"/>
      <c r="T98" s="118"/>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row>
    <row r="99" spans="7:50" x14ac:dyDescent="0.25">
      <c r="G99" s="118"/>
      <c r="H99" s="118"/>
      <c r="I99" s="118"/>
      <c r="J99" s="118"/>
      <c r="K99" s="118"/>
      <c r="L99" s="118"/>
      <c r="M99" s="118"/>
      <c r="N99" s="118"/>
      <c r="O99" s="118"/>
      <c r="P99" s="118"/>
      <c r="Q99" s="118"/>
      <c r="R99" s="118"/>
      <c r="S99" s="118"/>
      <c r="T99" s="118"/>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row>
    <row r="100" spans="7:50" x14ac:dyDescent="0.25">
      <c r="G100" s="118"/>
      <c r="H100" s="118"/>
      <c r="I100" s="118"/>
      <c r="J100" s="118"/>
      <c r="K100" s="118"/>
      <c r="L100" s="118"/>
      <c r="M100" s="118"/>
      <c r="N100" s="118"/>
      <c r="O100" s="118"/>
      <c r="P100" s="118"/>
      <c r="Q100" s="118"/>
      <c r="R100" s="118"/>
      <c r="S100" s="118"/>
      <c r="T100" s="118"/>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row>
    <row r="101" spans="7:50" x14ac:dyDescent="0.25">
      <c r="G101" s="118"/>
      <c r="H101" s="118"/>
      <c r="I101" s="118"/>
      <c r="J101" s="118"/>
      <c r="K101" s="118"/>
      <c r="L101" s="118"/>
      <c r="M101" s="118"/>
      <c r="N101" s="118"/>
      <c r="O101" s="118"/>
      <c r="P101" s="118"/>
      <c r="Q101" s="118"/>
      <c r="R101" s="118"/>
      <c r="S101" s="118"/>
      <c r="T101" s="118"/>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row>
    <row r="102" spans="7:50" x14ac:dyDescent="0.25">
      <c r="G102" s="118"/>
      <c r="H102" s="118"/>
      <c r="I102" s="118"/>
      <c r="J102" s="118"/>
      <c r="K102" s="118"/>
      <c r="L102" s="118"/>
      <c r="M102" s="118"/>
      <c r="N102" s="118"/>
      <c r="O102" s="118"/>
      <c r="P102" s="118"/>
      <c r="Q102" s="118"/>
      <c r="R102" s="118"/>
      <c r="S102" s="118"/>
      <c r="T102" s="118"/>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row>
    <row r="103" spans="7:50" x14ac:dyDescent="0.25">
      <c r="G103" s="118"/>
      <c r="H103" s="118"/>
      <c r="I103" s="118"/>
      <c r="J103" s="118"/>
      <c r="K103" s="118"/>
      <c r="L103" s="118"/>
      <c r="M103" s="118"/>
      <c r="N103" s="118"/>
      <c r="O103" s="118"/>
      <c r="P103" s="118"/>
      <c r="Q103" s="118"/>
      <c r="R103" s="118"/>
      <c r="S103" s="118"/>
      <c r="T103" s="118"/>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19"/>
    </row>
    <row r="104" spans="7:50" x14ac:dyDescent="0.25">
      <c r="G104" s="118"/>
      <c r="H104" s="118"/>
      <c r="I104" s="118"/>
      <c r="J104" s="118"/>
      <c r="K104" s="118"/>
      <c r="L104" s="118"/>
      <c r="M104" s="118"/>
      <c r="N104" s="118"/>
      <c r="O104" s="118"/>
      <c r="P104" s="118"/>
      <c r="Q104" s="118"/>
      <c r="R104" s="118"/>
      <c r="S104" s="118"/>
      <c r="T104" s="118"/>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row>
    <row r="105" spans="7:50" x14ac:dyDescent="0.25">
      <c r="G105" s="118"/>
      <c r="H105" s="118"/>
      <c r="I105" s="118"/>
      <c r="J105" s="118"/>
      <c r="K105" s="118"/>
      <c r="L105" s="118"/>
      <c r="M105" s="118"/>
      <c r="N105" s="118"/>
      <c r="O105" s="118"/>
      <c r="P105" s="118"/>
      <c r="Q105" s="118"/>
      <c r="R105" s="118"/>
      <c r="S105" s="118"/>
      <c r="T105" s="118"/>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row>
    <row r="106" spans="7:50" x14ac:dyDescent="0.25">
      <c r="G106" s="118"/>
      <c r="H106" s="118"/>
      <c r="I106" s="118"/>
      <c r="J106" s="118"/>
      <c r="K106" s="118"/>
      <c r="L106" s="118"/>
      <c r="M106" s="118"/>
      <c r="N106" s="118"/>
      <c r="O106" s="118"/>
      <c r="P106" s="118"/>
      <c r="Q106" s="118"/>
      <c r="R106" s="118"/>
      <c r="S106" s="118"/>
      <c r="T106" s="118"/>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row>
    <row r="107" spans="7:50" x14ac:dyDescent="0.25">
      <c r="G107" s="118"/>
      <c r="H107" s="118"/>
      <c r="I107" s="118"/>
      <c r="J107" s="118"/>
      <c r="K107" s="118"/>
      <c r="L107" s="118"/>
      <c r="M107" s="118"/>
      <c r="N107" s="118"/>
      <c r="O107" s="118"/>
      <c r="P107" s="118"/>
      <c r="Q107" s="118"/>
      <c r="R107" s="118"/>
      <c r="S107" s="118"/>
      <c r="T107" s="118"/>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row>
    <row r="108" spans="7:50" x14ac:dyDescent="0.25">
      <c r="G108" s="118"/>
      <c r="H108" s="118"/>
      <c r="I108" s="118"/>
      <c r="J108" s="118"/>
      <c r="K108" s="118"/>
      <c r="L108" s="118"/>
      <c r="M108" s="118"/>
      <c r="N108" s="118"/>
      <c r="O108" s="118"/>
      <c r="P108" s="118"/>
      <c r="Q108" s="118"/>
      <c r="R108" s="118"/>
      <c r="S108" s="118"/>
      <c r="T108" s="118"/>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row>
    <row r="109" spans="7:50" x14ac:dyDescent="0.25">
      <c r="G109" s="118"/>
      <c r="H109" s="118"/>
      <c r="I109" s="118"/>
      <c r="J109" s="118"/>
      <c r="K109" s="118"/>
      <c r="L109" s="118"/>
      <c r="M109" s="118"/>
      <c r="N109" s="118"/>
      <c r="O109" s="118"/>
      <c r="P109" s="118"/>
      <c r="Q109" s="118"/>
      <c r="R109" s="118"/>
      <c r="S109" s="118"/>
      <c r="T109" s="118"/>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row>
    <row r="110" spans="7:50" x14ac:dyDescent="0.25">
      <c r="G110" s="118"/>
      <c r="H110" s="118"/>
      <c r="I110" s="118"/>
      <c r="J110" s="118"/>
      <c r="K110" s="118"/>
      <c r="L110" s="118"/>
      <c r="M110" s="118"/>
      <c r="N110" s="118"/>
      <c r="O110" s="118"/>
      <c r="P110" s="118"/>
      <c r="Q110" s="118"/>
      <c r="R110" s="118"/>
      <c r="S110" s="118"/>
      <c r="T110" s="118"/>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row>
    <row r="111" spans="7:50" x14ac:dyDescent="0.25">
      <c r="G111" s="118"/>
      <c r="H111" s="118"/>
      <c r="I111" s="118"/>
      <c r="J111" s="118"/>
      <c r="K111" s="118"/>
      <c r="L111" s="118"/>
      <c r="M111" s="118"/>
      <c r="N111" s="118"/>
      <c r="O111" s="118"/>
      <c r="P111" s="118"/>
      <c r="Q111" s="118"/>
      <c r="R111" s="118"/>
      <c r="S111" s="118"/>
      <c r="T111" s="118"/>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row>
    <row r="112" spans="7:50" x14ac:dyDescent="0.25">
      <c r="G112" s="118"/>
      <c r="H112" s="118"/>
      <c r="I112" s="118"/>
      <c r="J112" s="118"/>
      <c r="K112" s="118"/>
      <c r="L112" s="118"/>
      <c r="M112" s="118"/>
      <c r="N112" s="118"/>
      <c r="O112" s="118"/>
      <c r="P112" s="118"/>
      <c r="Q112" s="118"/>
      <c r="R112" s="118"/>
      <c r="S112" s="118"/>
      <c r="T112" s="118"/>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row>
    <row r="113" spans="7:50" x14ac:dyDescent="0.25">
      <c r="G113" s="118"/>
      <c r="H113" s="118"/>
      <c r="I113" s="118"/>
      <c r="J113" s="118"/>
      <c r="K113" s="118"/>
      <c r="L113" s="118"/>
      <c r="M113" s="118"/>
      <c r="N113" s="118"/>
      <c r="O113" s="118"/>
      <c r="P113" s="118"/>
      <c r="Q113" s="118"/>
      <c r="R113" s="118"/>
      <c r="S113" s="118"/>
      <c r="T113" s="118"/>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row>
    <row r="114" spans="7:50" x14ac:dyDescent="0.25">
      <c r="G114" s="118"/>
      <c r="H114" s="118"/>
      <c r="I114" s="118"/>
      <c r="J114" s="118"/>
      <c r="K114" s="118"/>
      <c r="L114" s="118"/>
      <c r="M114" s="118"/>
      <c r="N114" s="118"/>
      <c r="O114" s="118"/>
      <c r="P114" s="118"/>
      <c r="Q114" s="118"/>
      <c r="R114" s="118"/>
      <c r="S114" s="118"/>
      <c r="T114" s="118"/>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row>
    <row r="115" spans="7:50" x14ac:dyDescent="0.25">
      <c r="G115" s="5"/>
      <c r="H115" s="5"/>
      <c r="I115" s="5"/>
      <c r="J115" s="5"/>
      <c r="K115" s="5"/>
      <c r="L115" s="5"/>
      <c r="M115" s="5"/>
      <c r="N115" s="5"/>
      <c r="O115" s="5"/>
      <c r="P115" s="5"/>
      <c r="Q115" s="5"/>
      <c r="R115" s="5"/>
      <c r="S115" s="5"/>
      <c r="T115" s="5"/>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19"/>
    </row>
    <row r="116" spans="7:50" x14ac:dyDescent="0.25">
      <c r="G116" s="5"/>
      <c r="H116" s="5"/>
      <c r="I116" s="5"/>
      <c r="J116" s="5"/>
      <c r="K116" s="5"/>
      <c r="L116" s="5"/>
      <c r="M116" s="5"/>
      <c r="N116" s="5"/>
      <c r="O116" s="5"/>
      <c r="P116" s="5"/>
      <c r="Q116" s="5"/>
      <c r="R116" s="5"/>
      <c r="S116" s="5"/>
      <c r="T116" s="5"/>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row>
    <row r="117" spans="7:50" x14ac:dyDescent="0.25">
      <c r="G117" s="5"/>
      <c r="H117" s="5"/>
      <c r="I117" s="5"/>
      <c r="J117" s="5"/>
      <c r="K117" s="5"/>
      <c r="L117" s="5"/>
      <c r="M117" s="5"/>
      <c r="N117" s="5"/>
      <c r="O117" s="5"/>
      <c r="P117" s="5"/>
      <c r="Q117" s="5"/>
      <c r="R117" s="5"/>
      <c r="S117" s="5"/>
      <c r="T117" s="5"/>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row>
    <row r="118" spans="7:50" x14ac:dyDescent="0.25">
      <c r="G118" s="5"/>
      <c r="H118" s="5"/>
      <c r="I118" s="5"/>
      <c r="J118" s="5"/>
      <c r="K118" s="5"/>
      <c r="L118" s="5"/>
      <c r="M118" s="5"/>
      <c r="N118" s="5"/>
      <c r="O118" s="5"/>
      <c r="P118" s="5"/>
      <c r="Q118" s="5"/>
      <c r="R118" s="5"/>
      <c r="S118" s="5"/>
      <c r="T118" s="5"/>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row>
    <row r="119" spans="7:50" x14ac:dyDescent="0.25">
      <c r="G119" s="5"/>
      <c r="H119" s="5"/>
      <c r="I119" s="5"/>
      <c r="J119" s="5"/>
      <c r="K119" s="5"/>
      <c r="L119" s="5"/>
      <c r="M119" s="5"/>
      <c r="N119" s="5"/>
      <c r="O119" s="5"/>
      <c r="P119" s="5"/>
      <c r="Q119" s="5"/>
      <c r="R119" s="5"/>
      <c r="S119" s="5"/>
      <c r="T119" s="5"/>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row>
    <row r="120" spans="7:50" x14ac:dyDescent="0.25">
      <c r="G120" s="5"/>
      <c r="H120" s="5"/>
      <c r="I120" s="5"/>
      <c r="J120" s="5"/>
      <c r="K120" s="5"/>
      <c r="L120" s="5"/>
      <c r="M120" s="5"/>
      <c r="N120" s="5"/>
      <c r="O120" s="5"/>
      <c r="P120" s="5"/>
      <c r="Q120" s="5"/>
      <c r="R120" s="5"/>
      <c r="S120" s="5"/>
      <c r="T120" s="5"/>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row>
    <row r="121" spans="7:50" x14ac:dyDescent="0.25">
      <c r="G121" s="5"/>
      <c r="H121" s="5"/>
      <c r="I121" s="5"/>
      <c r="J121" s="5"/>
      <c r="K121" s="5"/>
      <c r="L121" s="5"/>
      <c r="M121" s="5"/>
      <c r="N121" s="5"/>
      <c r="O121" s="5"/>
      <c r="P121" s="5"/>
      <c r="Q121" s="5"/>
      <c r="R121" s="5"/>
      <c r="S121" s="5"/>
      <c r="T121" s="5"/>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row>
    <row r="122" spans="7:50" x14ac:dyDescent="0.25">
      <c r="G122" s="5"/>
      <c r="H122" s="5"/>
      <c r="I122" s="5"/>
      <c r="J122" s="5"/>
      <c r="K122" s="5"/>
      <c r="L122" s="5"/>
      <c r="M122" s="5"/>
      <c r="N122" s="5"/>
      <c r="O122" s="5"/>
      <c r="P122" s="5"/>
      <c r="Q122" s="5"/>
      <c r="R122" s="5"/>
      <c r="S122" s="5"/>
      <c r="T122" s="5"/>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row>
    <row r="123" spans="7:50" x14ac:dyDescent="0.25">
      <c r="G123" s="5"/>
      <c r="H123" s="5"/>
      <c r="I123" s="5"/>
      <c r="J123" s="5"/>
      <c r="K123" s="5"/>
      <c r="L123" s="5"/>
      <c r="M123" s="5"/>
      <c r="N123" s="5"/>
      <c r="O123" s="5"/>
      <c r="P123" s="5"/>
      <c r="Q123" s="5"/>
      <c r="R123" s="5"/>
      <c r="S123" s="5"/>
      <c r="T123" s="5"/>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row>
    <row r="124" spans="7:50" x14ac:dyDescent="0.25">
      <c r="G124" s="5"/>
      <c r="H124" s="5"/>
      <c r="I124" s="5"/>
      <c r="J124" s="5"/>
      <c r="K124" s="5"/>
      <c r="L124" s="5"/>
      <c r="M124" s="5"/>
      <c r="N124" s="5"/>
      <c r="O124" s="5"/>
      <c r="P124" s="5"/>
      <c r="Q124" s="5"/>
      <c r="R124" s="5"/>
      <c r="S124" s="5"/>
      <c r="T124" s="5"/>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row>
    <row r="125" spans="7:50" x14ac:dyDescent="0.25">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row>
    <row r="126" spans="7:50" x14ac:dyDescent="0.25">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row>
    <row r="127" spans="7:50" x14ac:dyDescent="0.25">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row>
    <row r="128" spans="7:50" x14ac:dyDescent="0.25">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row>
    <row r="129" spans="7:50" x14ac:dyDescent="0.25">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row>
    <row r="130" spans="7:50" x14ac:dyDescent="0.25">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19"/>
    </row>
    <row r="131" spans="7:50" x14ac:dyDescent="0.25">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19"/>
    </row>
    <row r="132" spans="7:50" x14ac:dyDescent="0.25">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19"/>
    </row>
    <row r="133" spans="7:50" x14ac:dyDescent="0.25">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19"/>
    </row>
    <row r="134" spans="7:50" x14ac:dyDescent="0.25">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19"/>
    </row>
    <row r="135" spans="7:50" x14ac:dyDescent="0.25">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19"/>
    </row>
    <row r="136" spans="7:50" x14ac:dyDescent="0.25">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row>
    <row r="137" spans="7:50" x14ac:dyDescent="0.25">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row>
    <row r="138" spans="7:50" x14ac:dyDescent="0.25">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row>
    <row r="139" spans="7:50" x14ac:dyDescent="0.25">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row>
    <row r="140" spans="7:50" x14ac:dyDescent="0.25">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row>
    <row r="141" spans="7:50" x14ac:dyDescent="0.25">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row>
    <row r="142" spans="7:50" x14ac:dyDescent="0.25">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row>
    <row r="143" spans="7:50" x14ac:dyDescent="0.25">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row>
    <row r="144" spans="7:50" x14ac:dyDescent="0.25">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row>
    <row r="145" spans="7:50" x14ac:dyDescent="0.25">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row>
    <row r="146" spans="7:50" x14ac:dyDescent="0.25">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row>
    <row r="147" spans="7:50" x14ac:dyDescent="0.25">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row>
    <row r="148" spans="7:50" x14ac:dyDescent="0.25">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row>
    <row r="149" spans="7:50" x14ac:dyDescent="0.25">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row>
    <row r="150" spans="7:50" x14ac:dyDescent="0.25">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row>
    <row r="151" spans="7:50" x14ac:dyDescent="0.25">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row>
    <row r="152" spans="7:50" x14ac:dyDescent="0.25">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row>
    <row r="153" spans="7:50" x14ac:dyDescent="0.25">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row>
    <row r="154" spans="7:50" x14ac:dyDescent="0.25">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row>
    <row r="155" spans="7:50" x14ac:dyDescent="0.25">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row>
    <row r="156" spans="7:50" x14ac:dyDescent="0.25">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row>
    <row r="157" spans="7:50" x14ac:dyDescent="0.25">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row>
    <row r="158" spans="7:50" x14ac:dyDescent="0.25">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row>
    <row r="159" spans="7:50" x14ac:dyDescent="0.25">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row>
    <row r="160" spans="7:50" x14ac:dyDescent="0.25">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row>
    <row r="161" spans="7:50" x14ac:dyDescent="0.25">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row>
    <row r="162" spans="7:50" x14ac:dyDescent="0.25">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row>
    <row r="163" spans="7:50" x14ac:dyDescent="0.25">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row>
    <row r="164" spans="7:50" x14ac:dyDescent="0.25">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row>
    <row r="165" spans="7:50" x14ac:dyDescent="0.25">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row>
    <row r="166" spans="7:50" x14ac:dyDescent="0.25">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row>
    <row r="167" spans="7:50" x14ac:dyDescent="0.25">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row>
    <row r="168" spans="7:50" x14ac:dyDescent="0.25">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row>
    <row r="169" spans="7:50" x14ac:dyDescent="0.25">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row>
    <row r="170" spans="7:50" x14ac:dyDescent="0.25">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row>
    <row r="171" spans="7:50" x14ac:dyDescent="0.25">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row>
    <row r="172" spans="7:50" x14ac:dyDescent="0.25">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row>
    <row r="173" spans="7:50" x14ac:dyDescent="0.25">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row>
    <row r="174" spans="7:50" x14ac:dyDescent="0.25">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row>
    <row r="175" spans="7:50" x14ac:dyDescent="0.25">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row>
    <row r="176" spans="7:50" x14ac:dyDescent="0.25">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row>
    <row r="177" spans="7:50" x14ac:dyDescent="0.25">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row>
    <row r="178" spans="7:50" x14ac:dyDescent="0.25">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row>
    <row r="179" spans="7:50" x14ac:dyDescent="0.25">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row>
    <row r="180" spans="7:50" x14ac:dyDescent="0.25">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row>
    <row r="181" spans="7:50" x14ac:dyDescent="0.25">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row>
    <row r="182" spans="7:50" x14ac:dyDescent="0.25">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row>
    <row r="183" spans="7:50" x14ac:dyDescent="0.25">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row>
    <row r="184" spans="7:50" x14ac:dyDescent="0.25">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row>
    <row r="185" spans="7:50" x14ac:dyDescent="0.25">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row>
    <row r="186" spans="7:50" x14ac:dyDescent="0.25">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row>
    <row r="187" spans="7:50" x14ac:dyDescent="0.25">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row>
    <row r="188" spans="7:50" x14ac:dyDescent="0.25">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row>
    <row r="189" spans="7:50" x14ac:dyDescent="0.25">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row>
    <row r="190" spans="7:50" x14ac:dyDescent="0.25">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row>
    <row r="191" spans="7:50" x14ac:dyDescent="0.25">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row>
    <row r="192" spans="7:50" x14ac:dyDescent="0.25">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row>
    <row r="193" spans="7:50" x14ac:dyDescent="0.25">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row>
    <row r="194" spans="7:50" x14ac:dyDescent="0.25">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row>
    <row r="195" spans="7:50" x14ac:dyDescent="0.25">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row>
    <row r="196" spans="7:50" x14ac:dyDescent="0.25">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row>
    <row r="197" spans="7:50" x14ac:dyDescent="0.25">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row>
    <row r="198" spans="7:50" x14ac:dyDescent="0.25">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row>
    <row r="199" spans="7:50" x14ac:dyDescent="0.25">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row>
    <row r="200" spans="7:50" x14ac:dyDescent="0.25">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row>
    <row r="201" spans="7:50" x14ac:dyDescent="0.25">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row>
    <row r="202" spans="7:50" x14ac:dyDescent="0.25">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row>
    <row r="203" spans="7:50" x14ac:dyDescent="0.25">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row>
    <row r="204" spans="7:50" x14ac:dyDescent="0.25">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row>
    <row r="205" spans="7:50" x14ac:dyDescent="0.25">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row>
    <row r="206" spans="7:50" x14ac:dyDescent="0.25">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row>
    <row r="207" spans="7:50" x14ac:dyDescent="0.25">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row>
    <row r="208" spans="7:50" x14ac:dyDescent="0.25">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row>
    <row r="209" spans="7:50" x14ac:dyDescent="0.25">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row>
    <row r="210" spans="7:50" x14ac:dyDescent="0.25">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row>
    <row r="211" spans="7:50" x14ac:dyDescent="0.25">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row>
    <row r="212" spans="7:50" x14ac:dyDescent="0.25">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row>
    <row r="213" spans="7:50" x14ac:dyDescent="0.25">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row>
    <row r="214" spans="7:50" x14ac:dyDescent="0.25">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row>
    <row r="215" spans="7:50" x14ac:dyDescent="0.25">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row>
    <row r="216" spans="7:50" x14ac:dyDescent="0.25">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row>
    <row r="217" spans="7:50" x14ac:dyDescent="0.25">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row>
    <row r="218" spans="7:50" x14ac:dyDescent="0.25">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row>
    <row r="219" spans="7:50" x14ac:dyDescent="0.25">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row>
    <row r="220" spans="7:50" x14ac:dyDescent="0.25">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row>
    <row r="221" spans="7:50" x14ac:dyDescent="0.25">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row>
    <row r="222" spans="7:50" x14ac:dyDescent="0.25">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row>
    <row r="223" spans="7:50" x14ac:dyDescent="0.25">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row>
    <row r="224" spans="7:50" x14ac:dyDescent="0.25">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row>
    <row r="225" spans="7:50" x14ac:dyDescent="0.25">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row>
    <row r="226" spans="7:50" x14ac:dyDescent="0.25">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row>
    <row r="227" spans="7:50" x14ac:dyDescent="0.25">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row>
    <row r="228" spans="7:50" x14ac:dyDescent="0.25">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row>
    <row r="229" spans="7:50" x14ac:dyDescent="0.25">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row>
    <row r="230" spans="7:50" x14ac:dyDescent="0.25">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row>
    <row r="231" spans="7:50" x14ac:dyDescent="0.25">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row>
    <row r="232" spans="7:50" x14ac:dyDescent="0.25">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row>
    <row r="233" spans="7:50" x14ac:dyDescent="0.25">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row>
    <row r="234" spans="7:50" x14ac:dyDescent="0.25">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row>
    <row r="235" spans="7:50" x14ac:dyDescent="0.25">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row>
    <row r="236" spans="7:50" x14ac:dyDescent="0.25">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row>
    <row r="237" spans="7:50" x14ac:dyDescent="0.25">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row>
    <row r="238" spans="7:50" x14ac:dyDescent="0.25">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row>
    <row r="239" spans="7:50" x14ac:dyDescent="0.25">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row>
  </sheetData>
  <mergeCells count="5">
    <mergeCell ref="W8:AJ8"/>
    <mergeCell ref="AL8:AO8"/>
    <mergeCell ref="B1:T1"/>
    <mergeCell ref="B2:T2"/>
    <mergeCell ref="G5:T5"/>
  </mergeCells>
  <pageMargins left="0.7" right="0.7" top="0.75" bottom="0.75" header="0.3" footer="0.3"/>
  <pageSetup scale="6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175"/>
  <sheetViews>
    <sheetView topLeftCell="A58" workbookViewId="0">
      <selection activeCell="I87" sqref="I87"/>
    </sheetView>
  </sheetViews>
  <sheetFormatPr defaultColWidth="9.140625" defaultRowHeight="12.75" x14ac:dyDescent="0.2"/>
  <cols>
    <col min="1" max="4" width="0.85546875" style="120" customWidth="1"/>
    <col min="5" max="5" width="50.7109375" style="120" customWidth="1"/>
    <col min="6" max="6" width="3.42578125" style="120" customWidth="1"/>
    <col min="7" max="7" width="3.5703125" style="120" customWidth="1"/>
    <col min="8" max="14" width="15.28515625" style="120" customWidth="1"/>
    <col min="15" max="20" width="15.28515625" style="120" hidden="1" customWidth="1"/>
    <col min="21" max="21" width="15.28515625" style="120" customWidth="1"/>
    <col min="22" max="22" width="2.28515625" style="120" customWidth="1"/>
    <col min="23" max="25" width="14" style="120" hidden="1" customWidth="1"/>
    <col min="26" max="26" width="13.42578125" style="120" hidden="1" customWidth="1"/>
    <col min="27" max="27" width="11.42578125" style="120" hidden="1" customWidth="1"/>
    <col min="28" max="28" width="9.7109375" style="120" hidden="1" customWidth="1"/>
    <col min="29" max="30" width="12.7109375" style="120" hidden="1" customWidth="1"/>
    <col min="31" max="31" width="14.5703125" style="120" hidden="1" customWidth="1"/>
    <col min="32" max="40" width="6.7109375" style="120" hidden="1" customWidth="1"/>
    <col min="41" max="41" width="9.5703125" style="120" bestFit="1" customWidth="1"/>
    <col min="42" max="16384" width="9.140625" style="120"/>
  </cols>
  <sheetData>
    <row r="1" spans="1:36" ht="12.75" customHeight="1" x14ac:dyDescent="0.2"/>
    <row r="2" spans="1:36" ht="12.75" customHeight="1" x14ac:dyDescent="0.2">
      <c r="A2" s="122" t="s">
        <v>46</v>
      </c>
      <c r="B2" s="122"/>
      <c r="C2" s="122"/>
      <c r="D2" s="123"/>
      <c r="E2" s="122"/>
      <c r="F2" s="122"/>
      <c r="G2" s="123"/>
      <c r="H2" s="121"/>
      <c r="I2" s="121"/>
      <c r="J2" s="121"/>
      <c r="K2" s="121"/>
      <c r="L2" s="121"/>
      <c r="M2" s="121"/>
      <c r="N2" s="121"/>
      <c r="O2" s="121"/>
      <c r="P2" s="121"/>
      <c r="Q2" s="121"/>
      <c r="R2" s="121"/>
      <c r="S2" s="121"/>
      <c r="T2" s="121"/>
      <c r="U2" s="121"/>
      <c r="V2" s="121"/>
      <c r="W2" s="121"/>
      <c r="X2" s="121"/>
      <c r="Y2" s="121"/>
      <c r="Z2" s="121"/>
    </row>
    <row r="3" spans="1:36" ht="12.75" customHeight="1" x14ac:dyDescent="0.2">
      <c r="A3" s="124"/>
      <c r="B3" s="125"/>
      <c r="C3" s="125"/>
      <c r="D3" s="125"/>
      <c r="E3" s="125"/>
      <c r="F3" s="125"/>
      <c r="G3" s="126"/>
      <c r="H3" s="711" t="s">
        <v>3</v>
      </c>
      <c r="I3" s="712"/>
      <c r="J3" s="712"/>
      <c r="K3" s="712"/>
      <c r="L3" s="712"/>
      <c r="M3" s="712"/>
      <c r="N3" s="712"/>
      <c r="O3" s="712"/>
      <c r="P3" s="712"/>
      <c r="Q3" s="712"/>
      <c r="R3" s="712"/>
      <c r="S3" s="712"/>
      <c r="T3" s="712"/>
      <c r="U3" s="712"/>
      <c r="V3" s="127"/>
      <c r="W3" s="128"/>
      <c r="X3" s="128"/>
      <c r="Y3" s="128"/>
      <c r="Z3" s="129"/>
      <c r="AJ3" s="129"/>
    </row>
    <row r="4" spans="1:36" ht="12.75" customHeight="1" x14ac:dyDescent="0.2">
      <c r="A4" s="129"/>
      <c r="B4" s="121"/>
      <c r="C4" s="130"/>
      <c r="D4" s="121"/>
      <c r="E4" s="130"/>
      <c r="F4" s="130"/>
      <c r="G4" s="131"/>
      <c r="H4" s="132" t="s">
        <v>5</v>
      </c>
      <c r="I4" s="133" t="s">
        <v>6</v>
      </c>
      <c r="J4" s="133" t="s">
        <v>7</v>
      </c>
      <c r="K4" s="133" t="s">
        <v>8</v>
      </c>
      <c r="L4" s="133" t="s">
        <v>9</v>
      </c>
      <c r="M4" s="133" t="s">
        <v>10</v>
      </c>
      <c r="N4" s="133" t="s">
        <v>11</v>
      </c>
      <c r="O4" s="133" t="s">
        <v>12</v>
      </c>
      <c r="P4" s="133" t="s">
        <v>13</v>
      </c>
      <c r="Q4" s="133" t="s">
        <v>14</v>
      </c>
      <c r="R4" s="133" t="s">
        <v>15</v>
      </c>
      <c r="S4" s="133" t="s">
        <v>16</v>
      </c>
      <c r="T4" s="133" t="s">
        <v>17</v>
      </c>
      <c r="U4" s="134" t="s">
        <v>18</v>
      </c>
      <c r="V4" s="136"/>
      <c r="W4" s="137"/>
      <c r="X4" s="137"/>
      <c r="Y4" s="137"/>
      <c r="Z4" s="129"/>
    </row>
    <row r="5" spans="1:36" ht="12.75" customHeight="1" x14ac:dyDescent="0.2">
      <c r="A5" s="138" t="s">
        <v>20</v>
      </c>
      <c r="B5" s="139"/>
      <c r="C5" s="139"/>
      <c r="D5" s="139"/>
      <c r="E5" s="139"/>
      <c r="F5" s="139"/>
      <c r="G5" s="140"/>
      <c r="H5" s="141" t="s">
        <v>22</v>
      </c>
      <c r="I5" s="142"/>
      <c r="J5" s="143"/>
      <c r="K5" s="144"/>
      <c r="L5" s="144"/>
      <c r="M5" s="144"/>
      <c r="N5" s="144"/>
      <c r="O5" s="144"/>
      <c r="P5" s="144"/>
      <c r="Q5" s="144"/>
      <c r="R5" s="144"/>
      <c r="S5" s="144"/>
      <c r="T5" s="144"/>
      <c r="U5" s="145"/>
      <c r="V5" s="136"/>
      <c r="W5" s="137"/>
      <c r="X5" s="137"/>
      <c r="Y5" s="137"/>
      <c r="Z5" s="129"/>
    </row>
    <row r="6" spans="1:36" s="155" customFormat="1" ht="12.75" customHeight="1" x14ac:dyDescent="0.2">
      <c r="A6" s="147"/>
      <c r="B6" s="130" t="s">
        <v>48</v>
      </c>
      <c r="C6" s="148"/>
      <c r="D6" s="149"/>
      <c r="E6" s="148"/>
      <c r="F6" s="150"/>
      <c r="G6" s="151"/>
      <c r="H6" s="133">
        <f>+H7+H14+H15+H16+H17+H19+H20</f>
        <v>631412039.38900006</v>
      </c>
      <c r="I6" s="133">
        <f t="shared" ref="I6:T6" si="0">+I7+I14+I15+I16+I17+I19+I20</f>
        <v>44502247.688879997</v>
      </c>
      <c r="J6" s="152">
        <f t="shared" si="0"/>
        <v>40267541.448380001</v>
      </c>
      <c r="K6" s="153">
        <f t="shared" si="0"/>
        <v>75893153.321600005</v>
      </c>
      <c r="L6" s="153">
        <f t="shared" si="0"/>
        <v>38199166.259870008</v>
      </c>
      <c r="M6" s="153">
        <f t="shared" si="0"/>
        <v>54625199.190710008</v>
      </c>
      <c r="N6" s="153">
        <f t="shared" si="0"/>
        <v>54199269.159560002</v>
      </c>
      <c r="O6" s="153">
        <f t="shared" si="0"/>
        <v>0</v>
      </c>
      <c r="P6" s="153">
        <f t="shared" si="0"/>
        <v>0</v>
      </c>
      <c r="Q6" s="153">
        <f t="shared" si="0"/>
        <v>0</v>
      </c>
      <c r="R6" s="153">
        <f t="shared" si="0"/>
        <v>0</v>
      </c>
      <c r="S6" s="153">
        <f t="shared" si="0"/>
        <v>0</v>
      </c>
      <c r="T6" s="153">
        <f t="shared" si="0"/>
        <v>0</v>
      </c>
      <c r="U6" s="134">
        <f>+U7+U14+U15+U16+U17+U19+U20</f>
        <v>307686577.06899995</v>
      </c>
      <c r="V6" s="136"/>
      <c r="W6" s="137"/>
      <c r="X6" s="137"/>
      <c r="Y6" s="137"/>
      <c r="Z6" s="154">
        <f>H6-U6</f>
        <v>323725462.32000011</v>
      </c>
      <c r="AA6" s="149"/>
    </row>
    <row r="7" spans="1:36" ht="12.75" customHeight="1" x14ac:dyDescent="0.2">
      <c r="A7" s="129"/>
      <c r="B7" s="121"/>
      <c r="C7" s="120" t="s">
        <v>49</v>
      </c>
      <c r="D7" s="121"/>
      <c r="E7" s="121"/>
      <c r="F7" s="130"/>
      <c r="G7" s="131"/>
      <c r="H7" s="156">
        <f t="shared" ref="H7:T7" si="1">(+H8+H9+H10+H11+H12)</f>
        <v>455492529.52100003</v>
      </c>
      <c r="I7" s="156">
        <f t="shared" si="1"/>
        <v>41615902.929719999</v>
      </c>
      <c r="J7" s="156">
        <f t="shared" si="1"/>
        <v>36192555.250660002</v>
      </c>
      <c r="K7" s="157">
        <f t="shared" si="1"/>
        <v>33797792.299890004</v>
      </c>
      <c r="L7" s="157">
        <f t="shared" si="1"/>
        <v>34826342.628380008</v>
      </c>
      <c r="M7" s="157">
        <f t="shared" si="1"/>
        <v>36297897.417770006</v>
      </c>
      <c r="N7" s="157">
        <f t="shared" si="1"/>
        <v>35952831.695350006</v>
      </c>
      <c r="O7" s="157">
        <f t="shared" si="1"/>
        <v>0</v>
      </c>
      <c r="P7" s="157">
        <f t="shared" si="1"/>
        <v>0</v>
      </c>
      <c r="Q7" s="157">
        <f t="shared" si="1"/>
        <v>0</v>
      </c>
      <c r="R7" s="157">
        <f t="shared" si="1"/>
        <v>0</v>
      </c>
      <c r="S7" s="157">
        <f t="shared" si="1"/>
        <v>0</v>
      </c>
      <c r="T7" s="157">
        <f t="shared" si="1"/>
        <v>0</v>
      </c>
      <c r="U7" s="158">
        <f>(+U8+U9+U10+U11+U12)</f>
        <v>218683322.22177002</v>
      </c>
      <c r="V7" s="160"/>
      <c r="W7" s="161"/>
      <c r="X7" s="161"/>
      <c r="Y7" s="161"/>
      <c r="Z7" s="162">
        <f>H7-U7</f>
        <v>236809207.29923001</v>
      </c>
      <c r="AA7" s="121" t="e">
        <f>+#REF!-#REF!</f>
        <v>#REF!</v>
      </c>
      <c r="AB7" s="120">
        <v>170898.13723003864</v>
      </c>
    </row>
    <row r="8" spans="1:36" ht="12.75" customHeight="1" x14ac:dyDescent="0.2">
      <c r="A8" s="129"/>
      <c r="B8" s="130"/>
      <c r="C8" s="121"/>
      <c r="D8" s="121"/>
      <c r="E8" s="702" t="s">
        <v>50</v>
      </c>
      <c r="F8" s="702"/>
      <c r="G8" s="703"/>
      <c r="H8" s="157">
        <v>39288672.805</v>
      </c>
      <c r="I8" s="156">
        <v>532955.74387999997</v>
      </c>
      <c r="J8" s="161">
        <f>629316.68601-532956+534747</f>
        <v>631107.68600999995</v>
      </c>
      <c r="K8" s="159">
        <f>720104.87132-1164063+1166249</f>
        <v>722290.87132000003</v>
      </c>
      <c r="L8" s="159">
        <f>764881.78328-1886354+1890214</f>
        <v>768741.78328000009</v>
      </c>
      <c r="M8" s="159">
        <f>8709341.33208-2655096+2658352</f>
        <v>8712597.3320799991</v>
      </c>
      <c r="N8" s="159">
        <f>2109667.74589-11367693+11366540</f>
        <v>2108514.745889999</v>
      </c>
      <c r="O8" s="159">
        <v>0</v>
      </c>
      <c r="P8" s="159">
        <v>0</v>
      </c>
      <c r="Q8" s="159">
        <v>0</v>
      </c>
      <c r="R8" s="159">
        <v>0</v>
      </c>
      <c r="S8" s="159">
        <v>0</v>
      </c>
      <c r="T8" s="159">
        <v>0</v>
      </c>
      <c r="U8" s="158">
        <f>SUM(I8:T8)</f>
        <v>13476208.162459997</v>
      </c>
      <c r="V8" s="160"/>
      <c r="W8" s="161"/>
      <c r="X8" s="161"/>
      <c r="Y8" s="161"/>
      <c r="Z8" s="162">
        <f>H8-U8</f>
        <v>25812464.64254</v>
      </c>
      <c r="AA8" s="121" t="e">
        <f>+#REF!-#REF!</f>
        <v>#REF!</v>
      </c>
      <c r="AB8" s="120">
        <v>170760.4681699872</v>
      </c>
    </row>
    <row r="9" spans="1:36" ht="12.75" customHeight="1" x14ac:dyDescent="0.2">
      <c r="A9" s="129"/>
      <c r="B9" s="130"/>
      <c r="C9" s="121"/>
      <c r="D9" s="121"/>
      <c r="E9" s="121" t="s">
        <v>51</v>
      </c>
      <c r="F9" s="130"/>
      <c r="G9" s="156"/>
      <c r="H9" s="157">
        <v>463419047.72799999</v>
      </c>
      <c r="I9" s="156">
        <v>41692107.038860001</v>
      </c>
      <c r="J9" s="161">
        <f>37255109.59198-41692107+41692107</f>
        <v>37255109.591980003</v>
      </c>
      <c r="K9" s="159">
        <f>34481178.62707-78947217+78947217</f>
        <v>34481178.627070002</v>
      </c>
      <c r="L9" s="159">
        <f>36096742.5331-113428395+113428395</f>
        <v>36096742.533100009</v>
      </c>
      <c r="M9" s="159">
        <f>37366127.87103-149525138+149525138</f>
        <v>37366127.871030003</v>
      </c>
      <c r="N9" s="159">
        <f>39332802.73587-186891266+186891266</f>
        <v>39332802.735870004</v>
      </c>
      <c r="O9" s="159">
        <v>0</v>
      </c>
      <c r="P9" s="159">
        <v>0</v>
      </c>
      <c r="Q9" s="159">
        <v>0</v>
      </c>
      <c r="R9" s="159">
        <v>0</v>
      </c>
      <c r="S9" s="159">
        <v>0</v>
      </c>
      <c r="T9" s="159">
        <v>0</v>
      </c>
      <c r="U9" s="158">
        <f>SUM(I9:T9)</f>
        <v>226224068.39791003</v>
      </c>
      <c r="V9" s="160"/>
      <c r="W9" s="161"/>
      <c r="X9" s="161"/>
      <c r="Y9" s="161"/>
      <c r="Z9" s="162">
        <f>H9-U9</f>
        <v>237194979.33008996</v>
      </c>
      <c r="AA9" s="121" t="e">
        <f>+#REF!-#REF!</f>
        <v>#REF!</v>
      </c>
      <c r="AB9" s="120">
        <v>-0.62007993459701538</v>
      </c>
    </row>
    <row r="10" spans="1:36" ht="12.75" customHeight="1" x14ac:dyDescent="0.25">
      <c r="A10" s="129"/>
      <c r="B10" s="130"/>
      <c r="C10" s="121"/>
      <c r="D10" s="121"/>
      <c r="E10" s="713" t="s">
        <v>52</v>
      </c>
      <c r="F10" s="714"/>
      <c r="G10" s="715"/>
      <c r="H10" s="157">
        <v>-18838768.908</v>
      </c>
      <c r="I10" s="156">
        <v>-50673.258329999997</v>
      </c>
      <c r="J10" s="161">
        <f>-835644.90192-50673 +50673</f>
        <v>-835644.90191999997</v>
      </c>
      <c r="K10" s="159">
        <f>-542577.35311-886318+886318</f>
        <v>-542577.35311000003</v>
      </c>
      <c r="L10" s="159">
        <f>-630563.10416-1428896+1428895+1</f>
        <v>-630563.1041600001</v>
      </c>
      <c r="M10" s="159">
        <f>-721237.6477-2059459+2059457</f>
        <v>-721239.64770000009</v>
      </c>
      <c r="N10" s="159">
        <f>-528888.24427+2780698-2780696</f>
        <v>-528886.24427000014</v>
      </c>
      <c r="O10" s="159">
        <v>0</v>
      </c>
      <c r="P10" s="159">
        <v>0</v>
      </c>
      <c r="Q10" s="159">
        <v>0</v>
      </c>
      <c r="R10" s="159">
        <v>0</v>
      </c>
      <c r="S10" s="159">
        <v>0</v>
      </c>
      <c r="T10" s="159">
        <v>0</v>
      </c>
      <c r="U10" s="158">
        <f t="shared" ref="U10:U12" si="2">SUM(I10:T10)</f>
        <v>-3309584.5094900005</v>
      </c>
      <c r="V10" s="160"/>
      <c r="W10" s="161"/>
      <c r="X10" s="161"/>
      <c r="Y10" s="161"/>
      <c r="Z10" s="162">
        <f>H10-U10</f>
        <v>-15529184.39851</v>
      </c>
      <c r="AA10" s="121" t="e">
        <f>+#REF!-#REF!</f>
        <v>#REF!</v>
      </c>
      <c r="AB10" s="120">
        <v>-0.18653000053018332</v>
      </c>
    </row>
    <row r="11" spans="1:36" ht="12.75" customHeight="1" x14ac:dyDescent="0.2">
      <c r="A11" s="129"/>
      <c r="B11" s="130"/>
      <c r="C11" s="121"/>
      <c r="D11" s="121"/>
      <c r="E11" s="121" t="s">
        <v>53</v>
      </c>
      <c r="F11" s="130"/>
      <c r="G11" s="156"/>
      <c r="H11" s="157">
        <v>-433113.625</v>
      </c>
      <c r="I11" s="156">
        <v>-28022.66575</v>
      </c>
      <c r="J11" s="161">
        <f>-172007.06936-28023+28023</f>
        <v>-172007.06935999999</v>
      </c>
      <c r="K11" s="159">
        <f>-287062.47683-200030+200030</f>
        <v>-287062.47683</v>
      </c>
      <c r="L11" s="159">
        <f>-325112.87945-487092+487092</f>
        <v>-325112.87945000001</v>
      </c>
      <c r="M11" s="159">
        <f>-492219.62296-812205+812205</f>
        <v>-492219.62296000007</v>
      </c>
      <c r="N11" s="159">
        <f>-81601.19394-1304425+1304425</f>
        <v>-81601.19393999991</v>
      </c>
      <c r="O11" s="159">
        <v>0</v>
      </c>
      <c r="P11" s="159">
        <v>0</v>
      </c>
      <c r="Q11" s="159">
        <v>0</v>
      </c>
      <c r="R11" s="159">
        <v>0</v>
      </c>
      <c r="S11" s="159">
        <v>0</v>
      </c>
      <c r="T11" s="159">
        <v>0</v>
      </c>
      <c r="U11" s="158">
        <f t="shared" si="2"/>
        <v>-1386025.9082899999</v>
      </c>
      <c r="V11" s="160"/>
      <c r="W11" s="161"/>
      <c r="X11" s="161"/>
      <c r="Y11" s="161"/>
      <c r="Z11" s="162">
        <f>H11-U11</f>
        <v>952912.28328999993</v>
      </c>
      <c r="AA11" s="121" t="e">
        <f>+#REF!-#REF!</f>
        <v>#REF!</v>
      </c>
      <c r="AB11" s="120">
        <v>-0.23753000004217029</v>
      </c>
    </row>
    <row r="12" spans="1:36" ht="12.75" customHeight="1" x14ac:dyDescent="0.2">
      <c r="A12" s="129"/>
      <c r="B12" s="130"/>
      <c r="C12" s="121"/>
      <c r="D12" s="121"/>
      <c r="E12" s="121" t="s">
        <v>54</v>
      </c>
      <c r="F12" s="130"/>
      <c r="G12" s="156"/>
      <c r="H12" s="157">
        <v>-27943308.478999998</v>
      </c>
      <c r="I12" s="156">
        <v>-530463.92894000001</v>
      </c>
      <c r="J12" s="161">
        <f>-686010.05605-530464+530464</f>
        <v>-686010.05605000001</v>
      </c>
      <c r="K12" s="159">
        <f>-576037.36856-1216474+1216474</f>
        <v>-576037.36855999986</v>
      </c>
      <c r="L12" s="159">
        <f>-1083465.70439-1792511+1792511</f>
        <v>-1083465.7043900001</v>
      </c>
      <c r="M12" s="159">
        <f>-8567368.51468-2875977+2875977</f>
        <v>-8567368.51468</v>
      </c>
      <c r="N12" s="159">
        <f>-4877998.3482-11443346+11443346</f>
        <v>-4877998.3482000008</v>
      </c>
      <c r="O12" s="159">
        <v>0</v>
      </c>
      <c r="P12" s="159">
        <v>0</v>
      </c>
      <c r="Q12" s="159">
        <v>0</v>
      </c>
      <c r="R12" s="159">
        <v>0</v>
      </c>
      <c r="S12" s="159">
        <v>0</v>
      </c>
      <c r="T12" s="159">
        <v>0</v>
      </c>
      <c r="U12" s="158">
        <f t="shared" si="2"/>
        <v>-16321343.920820002</v>
      </c>
      <c r="V12" s="160"/>
      <c r="W12" s="161"/>
      <c r="X12" s="161"/>
      <c r="Y12" s="161"/>
      <c r="Z12" s="162">
        <f>H12-U12</f>
        <v>-11621964.558179997</v>
      </c>
      <c r="AA12" s="121" t="e">
        <f>+#REF!-#REF!</f>
        <v>#REF!</v>
      </c>
      <c r="AB12" s="120">
        <v>138.71320000290871</v>
      </c>
    </row>
    <row r="13" spans="1:36" ht="12.75" customHeight="1" x14ac:dyDescent="0.2">
      <c r="A13" s="129"/>
      <c r="B13" s="121"/>
      <c r="C13" s="702" t="s">
        <v>55</v>
      </c>
      <c r="D13" s="702"/>
      <c r="E13" s="702"/>
      <c r="F13" s="702"/>
      <c r="G13" s="703"/>
      <c r="H13" s="157"/>
      <c r="I13" s="156"/>
      <c r="J13" s="161"/>
      <c r="K13" s="159"/>
      <c r="L13" s="159"/>
      <c r="M13" s="159"/>
      <c r="N13" s="159"/>
      <c r="O13" s="159"/>
      <c r="P13" s="159"/>
      <c r="Q13" s="159"/>
      <c r="R13" s="159"/>
      <c r="S13" s="159"/>
      <c r="T13" s="159"/>
      <c r="U13" s="158"/>
      <c r="V13" s="160"/>
      <c r="W13" s="161"/>
      <c r="X13" s="161"/>
      <c r="Y13" s="161"/>
      <c r="Z13" s="162">
        <f>H13-U13</f>
        <v>0</v>
      </c>
      <c r="AA13" s="121" t="e">
        <f>+#REF!-#REF!</f>
        <v>#REF!</v>
      </c>
      <c r="AB13" s="155">
        <v>0</v>
      </c>
    </row>
    <row r="14" spans="1:36" ht="12.75" customHeight="1" x14ac:dyDescent="0.2">
      <c r="A14" s="129"/>
      <c r="B14" s="121"/>
      <c r="C14" s="121"/>
      <c r="D14" s="121"/>
      <c r="E14" s="121" t="s">
        <v>56</v>
      </c>
      <c r="F14" s="121"/>
      <c r="G14" s="156"/>
      <c r="H14" s="157">
        <v>154550572.99399999</v>
      </c>
      <c r="I14" s="156">
        <v>384842.90894999984</v>
      </c>
      <c r="J14" s="161">
        <f>437017.20909-384843+393075</f>
        <v>445249.20909000002</v>
      </c>
      <c r="K14" s="159">
        <f>39922511.53065-830092+821513</f>
        <v>39913932.530649997</v>
      </c>
      <c r="L14" s="159">
        <f>1548234.13954-40744025+40762136+1</f>
        <v>1566346.1395400017</v>
      </c>
      <c r="M14" s="159">
        <f>16566010.45242-42310371+42327765</f>
        <v>16583404.45242</v>
      </c>
      <c r="N14" s="159">
        <f>16693780.42493-58893775+58936820</f>
        <v>16736825.424929999</v>
      </c>
      <c r="O14" s="159">
        <v>0</v>
      </c>
      <c r="P14" s="159">
        <v>0</v>
      </c>
      <c r="Q14" s="159">
        <v>0</v>
      </c>
      <c r="R14" s="159">
        <v>0</v>
      </c>
      <c r="S14" s="159">
        <v>0</v>
      </c>
      <c r="T14" s="159">
        <v>0</v>
      </c>
      <c r="U14" s="158">
        <f>SUM(I14:T14)</f>
        <v>75630600.665580004</v>
      </c>
      <c r="V14" s="160"/>
      <c r="W14" s="161"/>
      <c r="X14" s="161"/>
      <c r="Y14" s="161"/>
      <c r="Z14" s="162">
        <f>H14-U14</f>
        <v>78919972.328419983</v>
      </c>
      <c r="AA14" s="121" t="e">
        <f>+#REF!-#REF!</f>
        <v>#REF!</v>
      </c>
      <c r="AB14" s="155">
        <v>390830.13055998087</v>
      </c>
    </row>
    <row r="15" spans="1:36" ht="12.75" customHeight="1" x14ac:dyDescent="0.2">
      <c r="A15" s="129"/>
      <c r="B15" s="121"/>
      <c r="C15" s="121"/>
      <c r="D15" s="121"/>
      <c r="E15" s="708" t="s">
        <v>57</v>
      </c>
      <c r="F15" s="708"/>
      <c r="G15" s="709"/>
      <c r="H15" s="157">
        <v>11508.169</v>
      </c>
      <c r="I15" s="156">
        <v>591.75368000000003</v>
      </c>
      <c r="J15" s="161">
        <v>358.55195000000003</v>
      </c>
      <c r="K15" s="159">
        <v>-543.68684999999994</v>
      </c>
      <c r="L15" s="159">
        <v>1414.5836100000001</v>
      </c>
      <c r="M15" s="159">
        <v>14900.17238</v>
      </c>
      <c r="N15" s="159">
        <v>1545.65642</v>
      </c>
      <c r="O15" s="159">
        <v>0</v>
      </c>
      <c r="P15" s="159">
        <v>0</v>
      </c>
      <c r="Q15" s="159">
        <v>0</v>
      </c>
      <c r="R15" s="159">
        <v>0</v>
      </c>
      <c r="S15" s="159">
        <v>0</v>
      </c>
      <c r="T15" s="159">
        <v>0</v>
      </c>
      <c r="U15" s="158">
        <f t="shared" ref="U15:U17" si="3">SUM(I15:T15)</f>
        <v>18267.031190000002</v>
      </c>
      <c r="V15" s="160"/>
      <c r="W15" s="161"/>
      <c r="X15" s="161"/>
      <c r="Y15" s="161"/>
      <c r="Z15" s="162">
        <f>H15-U15</f>
        <v>-6758.8621900000016</v>
      </c>
      <c r="AA15" s="121" t="e">
        <f>+#REF!-#REF!</f>
        <v>#REF!</v>
      </c>
      <c r="AB15" s="155">
        <v>-0.55058999999891967</v>
      </c>
    </row>
    <row r="16" spans="1:36" ht="12.75" customHeight="1" x14ac:dyDescent="0.2">
      <c r="A16" s="129"/>
      <c r="B16" s="121"/>
      <c r="C16" s="121"/>
      <c r="D16" s="121"/>
      <c r="E16" s="708" t="s">
        <v>58</v>
      </c>
      <c r="F16" s="708"/>
      <c r="G16" s="709"/>
      <c r="H16" s="157">
        <v>16647872.557</v>
      </c>
      <c r="I16" s="156">
        <v>2209079.9366000001</v>
      </c>
      <c r="J16" s="161">
        <v>3349193.38399</v>
      </c>
      <c r="K16" s="159">
        <v>1867407.8515699999</v>
      </c>
      <c r="L16" s="159">
        <v>1470064.80709</v>
      </c>
      <c r="M16" s="159">
        <v>1308870.1526300001</v>
      </c>
      <c r="N16" s="159">
        <v>1067478.5544199999</v>
      </c>
      <c r="O16" s="159">
        <v>0</v>
      </c>
      <c r="P16" s="159">
        <v>0</v>
      </c>
      <c r="Q16" s="159">
        <v>0</v>
      </c>
      <c r="R16" s="159">
        <v>0</v>
      </c>
      <c r="S16" s="159">
        <v>0</v>
      </c>
      <c r="T16" s="159">
        <v>0</v>
      </c>
      <c r="U16" s="158">
        <f t="shared" si="3"/>
        <v>11272094.6863</v>
      </c>
      <c r="V16" s="160"/>
      <c r="W16" s="161"/>
      <c r="X16" s="161"/>
      <c r="Y16" s="161"/>
      <c r="Z16" s="162">
        <f>H16-U16</f>
        <v>5375777.8706999999</v>
      </c>
      <c r="AA16" s="121" t="e">
        <f>+#REF!-#REF!</f>
        <v>#REF!</v>
      </c>
      <c r="AB16" s="155">
        <v>-0.31317000091075897</v>
      </c>
    </row>
    <row r="17" spans="1:28" ht="12.75" customHeight="1" x14ac:dyDescent="0.2">
      <c r="A17" s="129"/>
      <c r="B17" s="121"/>
      <c r="C17" s="121"/>
      <c r="D17" s="121"/>
      <c r="E17" s="708" t="s">
        <v>59</v>
      </c>
      <c r="F17" s="708"/>
      <c r="G17" s="709"/>
      <c r="H17" s="157">
        <v>540222.44200000004</v>
      </c>
      <c r="I17" s="156">
        <v>59182.997109999997</v>
      </c>
      <c r="J17" s="161">
        <v>31029.25405</v>
      </c>
      <c r="K17" s="159">
        <v>32443.184300000001</v>
      </c>
      <c r="L17" s="159">
        <v>43083.216130000001</v>
      </c>
      <c r="M17" s="159">
        <v>23768.29952</v>
      </c>
      <c r="N17" s="159">
        <v>40209.965609999999</v>
      </c>
      <c r="O17" s="159">
        <v>0</v>
      </c>
      <c r="P17" s="159">
        <v>0</v>
      </c>
      <c r="Q17" s="159">
        <v>0</v>
      </c>
      <c r="R17" s="159">
        <v>0</v>
      </c>
      <c r="S17" s="159">
        <v>0</v>
      </c>
      <c r="T17" s="159">
        <v>0</v>
      </c>
      <c r="U17" s="158">
        <f t="shared" si="3"/>
        <v>229716.91672000004</v>
      </c>
      <c r="V17" s="160"/>
      <c r="W17" s="161"/>
      <c r="X17" s="161"/>
      <c r="Y17" s="161"/>
      <c r="Z17" s="162">
        <f>H17-U17</f>
        <v>310505.52528</v>
      </c>
      <c r="AA17" s="121" t="e">
        <f>+#REF!-#REF!</f>
        <v>#REF!</v>
      </c>
      <c r="AB17" s="155">
        <v>-0.36829999997280538</v>
      </c>
    </row>
    <row r="18" spans="1:28" x14ac:dyDescent="0.2">
      <c r="A18" s="129"/>
      <c r="B18" s="121"/>
      <c r="C18" s="121" t="s">
        <v>60</v>
      </c>
      <c r="D18" s="121"/>
      <c r="E18" s="121"/>
      <c r="F18" s="121"/>
      <c r="G18" s="156"/>
      <c r="H18" s="157"/>
      <c r="I18" s="156"/>
      <c r="J18" s="161"/>
      <c r="K18" s="159"/>
      <c r="L18" s="159"/>
      <c r="M18" s="159"/>
      <c r="N18" s="159"/>
      <c r="O18" s="159"/>
      <c r="P18" s="159"/>
      <c r="Q18" s="159"/>
      <c r="R18" s="159"/>
      <c r="S18" s="159"/>
      <c r="T18" s="159"/>
      <c r="U18" s="158"/>
      <c r="V18" s="160"/>
      <c r="W18" s="161"/>
      <c r="X18" s="161"/>
      <c r="Y18" s="161"/>
      <c r="Z18" s="162">
        <f>H1-U18</f>
        <v>0</v>
      </c>
      <c r="AA18" s="121" t="e">
        <f>+#REF!-#REF!</f>
        <v>#REF!</v>
      </c>
      <c r="AB18" s="155">
        <v>0</v>
      </c>
    </row>
    <row r="19" spans="1:28" ht="12.75" customHeight="1" x14ac:dyDescent="0.2">
      <c r="A19" s="129"/>
      <c r="B19" s="121"/>
      <c r="C19" s="121"/>
      <c r="D19" s="121"/>
      <c r="E19" s="702" t="s">
        <v>61</v>
      </c>
      <c r="F19" s="702"/>
      <c r="G19" s="703"/>
      <c r="H19" s="157">
        <v>4169262.1469999999</v>
      </c>
      <c r="I19" s="156">
        <v>232647.16282000003</v>
      </c>
      <c r="J19" s="161">
        <f>259107.23964-232647+222624</f>
        <v>249084.23964000001</v>
      </c>
      <c r="K19" s="159">
        <f>275728.14204-481731+488124</f>
        <v>282121.14204000001</v>
      </c>
      <c r="L19" s="159">
        <f>313886.88512-763853+741881</f>
        <v>291914.88511999999</v>
      </c>
      <c r="M19" s="159">
        <f>417007.69599-1055767+1035118</f>
        <v>396358.69598999992</v>
      </c>
      <c r="N19" s="159">
        <f>442271.86283-1452126+1410232</f>
        <v>400377.86283</v>
      </c>
      <c r="O19" s="159">
        <v>0</v>
      </c>
      <c r="P19" s="159">
        <v>0</v>
      </c>
      <c r="Q19" s="159">
        <v>0</v>
      </c>
      <c r="R19" s="159">
        <v>0</v>
      </c>
      <c r="S19" s="159">
        <v>0</v>
      </c>
      <c r="T19" s="159">
        <v>0</v>
      </c>
      <c r="U19" s="158">
        <f>SUM(I19:T19)</f>
        <v>1852503.98844</v>
      </c>
      <c r="V19" s="160"/>
      <c r="W19" s="161"/>
      <c r="X19" s="161"/>
      <c r="Y19" s="161"/>
      <c r="Z19" s="162">
        <f>H19-U19</f>
        <v>2316758.1585599999</v>
      </c>
      <c r="AA19" s="121" t="e">
        <f>+#REF!-#REF!</f>
        <v>#REF!</v>
      </c>
      <c r="AB19" s="155">
        <v>-561728.9774600002</v>
      </c>
    </row>
    <row r="20" spans="1:28" ht="12.75" customHeight="1" x14ac:dyDescent="0.2">
      <c r="A20" s="129"/>
      <c r="B20" s="121"/>
      <c r="C20" s="121"/>
      <c r="D20" s="121"/>
      <c r="E20" s="708" t="s">
        <v>62</v>
      </c>
      <c r="F20" s="708"/>
      <c r="G20" s="709"/>
      <c r="H20" s="157">
        <v>71.558999999999997</v>
      </c>
      <c r="I20" s="156">
        <v>0</v>
      </c>
      <c r="J20" s="161">
        <v>71.558999999999997</v>
      </c>
      <c r="K20" s="159">
        <v>0</v>
      </c>
      <c r="L20" s="159">
        <v>0</v>
      </c>
      <c r="M20" s="159">
        <v>0</v>
      </c>
      <c r="N20" s="159">
        <v>0</v>
      </c>
      <c r="O20" s="159">
        <v>0</v>
      </c>
      <c r="P20" s="159">
        <v>0</v>
      </c>
      <c r="Q20" s="159">
        <v>0</v>
      </c>
      <c r="R20" s="159">
        <v>0</v>
      </c>
      <c r="S20" s="159">
        <v>0</v>
      </c>
      <c r="T20" s="159">
        <v>0</v>
      </c>
      <c r="U20" s="158">
        <f>SUM(I20:T20)</f>
        <v>71.558999999999997</v>
      </c>
      <c r="V20" s="160"/>
      <c r="W20" s="161"/>
      <c r="X20" s="161"/>
      <c r="Y20" s="161"/>
      <c r="Z20" s="162">
        <f>H20-U20</f>
        <v>0</v>
      </c>
      <c r="AA20" s="121" t="e">
        <f>+#REF!-#REF!</f>
        <v>#REF!</v>
      </c>
      <c r="AB20" s="155">
        <v>-0.58600000000001273</v>
      </c>
    </row>
    <row r="21" spans="1:28" s="155" customFormat="1" ht="12.75" customHeight="1" x14ac:dyDescent="0.2">
      <c r="A21" s="162"/>
      <c r="B21" s="130" t="s">
        <v>63</v>
      </c>
      <c r="C21" s="148"/>
      <c r="D21" s="149"/>
      <c r="E21" s="163"/>
      <c r="F21" s="163"/>
      <c r="G21" s="164"/>
      <c r="H21" s="165">
        <f>H22</f>
        <v>11291373.607999999</v>
      </c>
      <c r="I21" s="165">
        <f t="shared" ref="I21:U21" si="4">I22</f>
        <v>1448896.29446</v>
      </c>
      <c r="J21" s="166">
        <f t="shared" si="4"/>
        <v>1119036.5325999998</v>
      </c>
      <c r="K21" s="167">
        <f t="shared" si="4"/>
        <v>8683.9046199999993</v>
      </c>
      <c r="L21" s="167">
        <f t="shared" si="4"/>
        <v>88985.843720000004</v>
      </c>
      <c r="M21" s="167">
        <f t="shared" si="4"/>
        <v>75881.088000000003</v>
      </c>
      <c r="N21" s="167">
        <f t="shared" si="4"/>
        <v>169905.86504</v>
      </c>
      <c r="O21" s="167">
        <f t="shared" si="4"/>
        <v>0</v>
      </c>
      <c r="P21" s="167">
        <f t="shared" si="4"/>
        <v>0</v>
      </c>
      <c r="Q21" s="167">
        <f t="shared" si="4"/>
        <v>0</v>
      </c>
      <c r="R21" s="167">
        <f t="shared" si="4"/>
        <v>0</v>
      </c>
      <c r="S21" s="167">
        <f t="shared" si="4"/>
        <v>0</v>
      </c>
      <c r="T21" s="167">
        <f t="shared" si="4"/>
        <v>0</v>
      </c>
      <c r="U21" s="168">
        <f t="shared" si="4"/>
        <v>2911389.5284400005</v>
      </c>
      <c r="V21" s="172"/>
      <c r="W21" s="166"/>
      <c r="X21" s="166"/>
      <c r="Y21" s="166"/>
      <c r="Z21" s="162">
        <f>H21-U21</f>
        <v>8379984.0795599986</v>
      </c>
      <c r="AA21" s="121" t="e">
        <f>+#REF!-#REF!</f>
        <v>#REF!</v>
      </c>
      <c r="AB21" s="155">
        <v>-9.3469999730587006E-2</v>
      </c>
    </row>
    <row r="22" spans="1:28" ht="12.75" customHeight="1" x14ac:dyDescent="0.2">
      <c r="A22" s="129"/>
      <c r="B22" s="121"/>
      <c r="C22" s="173" t="s">
        <v>64</v>
      </c>
      <c r="D22" s="121"/>
      <c r="E22" s="121"/>
      <c r="F22" s="174"/>
      <c r="G22" s="164"/>
      <c r="H22" s="157">
        <v>11291373.607999999</v>
      </c>
      <c r="I22" s="156">
        <v>1448896.29446</v>
      </c>
      <c r="J22" s="161">
        <v>1119036.5325999998</v>
      </c>
      <c r="K22" s="159">
        <v>8683.9046199999993</v>
      </c>
      <c r="L22" s="159">
        <v>88985.843720000004</v>
      </c>
      <c r="M22" s="159">
        <v>75881.088000000003</v>
      </c>
      <c r="N22" s="159">
        <v>169905.86504</v>
      </c>
      <c r="O22" s="159">
        <v>0</v>
      </c>
      <c r="P22" s="159">
        <v>0</v>
      </c>
      <c r="Q22" s="159">
        <v>0</v>
      </c>
      <c r="R22" s="159">
        <v>0</v>
      </c>
      <c r="S22" s="159">
        <v>0</v>
      </c>
      <c r="T22" s="159">
        <v>0</v>
      </c>
      <c r="U22" s="158">
        <f>SUM(I22:T22)</f>
        <v>2911389.5284400005</v>
      </c>
      <c r="V22" s="160"/>
      <c r="W22" s="161"/>
      <c r="X22" s="161"/>
      <c r="Y22" s="161"/>
      <c r="Z22" s="162">
        <f>H22-U22</f>
        <v>8379984.0795599986</v>
      </c>
      <c r="AA22" s="121" t="e">
        <f>+#REF!-#REF!</f>
        <v>#REF!</v>
      </c>
      <c r="AB22" s="155">
        <v>-9.3469999730587006E-2</v>
      </c>
    </row>
    <row r="23" spans="1:28" s="155" customFormat="1" ht="12.75" customHeight="1" x14ac:dyDescent="0.2">
      <c r="A23" s="162"/>
      <c r="B23" s="130" t="s">
        <v>65</v>
      </c>
      <c r="C23" s="148"/>
      <c r="D23" s="149"/>
      <c r="E23" s="163"/>
      <c r="F23" s="163"/>
      <c r="G23" s="164"/>
      <c r="H23" s="165">
        <f>SUM(H24:H29)</f>
        <v>14192468.438000001</v>
      </c>
      <c r="I23" s="165">
        <f t="shared" ref="I23:U23" si="5">SUM(I24:I29)</f>
        <v>930000.28094000008</v>
      </c>
      <c r="J23" s="166">
        <f t="shared" si="5"/>
        <v>964345.83990000002</v>
      </c>
      <c r="K23" s="167">
        <f t="shared" si="5"/>
        <v>1222430.14439</v>
      </c>
      <c r="L23" s="167">
        <f t="shared" si="5"/>
        <v>1300104.89249</v>
      </c>
      <c r="M23" s="167">
        <f t="shared" si="5"/>
        <v>1253114.29495</v>
      </c>
      <c r="N23" s="167">
        <f t="shared" si="5"/>
        <v>1425464.15118</v>
      </c>
      <c r="O23" s="167">
        <f t="shared" si="5"/>
        <v>0</v>
      </c>
      <c r="P23" s="167">
        <f t="shared" si="5"/>
        <v>0</v>
      </c>
      <c r="Q23" s="167">
        <f t="shared" si="5"/>
        <v>0</v>
      </c>
      <c r="R23" s="167">
        <f t="shared" si="5"/>
        <v>0</v>
      </c>
      <c r="S23" s="167">
        <f t="shared" si="5"/>
        <v>0</v>
      </c>
      <c r="T23" s="167">
        <f t="shared" si="5"/>
        <v>0</v>
      </c>
      <c r="U23" s="168">
        <f t="shared" si="5"/>
        <v>7095459.6038500005</v>
      </c>
      <c r="V23" s="172"/>
      <c r="W23" s="166"/>
      <c r="X23" s="166"/>
      <c r="Y23" s="166"/>
      <c r="Z23" s="162">
        <f>H23-U23</f>
        <v>7097008.8341500005</v>
      </c>
      <c r="AA23" s="121" t="e">
        <f>+#REF!-#REF!</f>
        <v>#REF!</v>
      </c>
      <c r="AB23" s="155">
        <v>0.50685000047087669</v>
      </c>
    </row>
    <row r="24" spans="1:28" s="155" customFormat="1" ht="12.75" customHeight="1" x14ac:dyDescent="0.2">
      <c r="A24" s="162"/>
      <c r="B24" s="130"/>
      <c r="C24" s="702" t="s">
        <v>66</v>
      </c>
      <c r="D24" s="702"/>
      <c r="E24" s="702"/>
      <c r="F24" s="702"/>
      <c r="G24" s="703"/>
      <c r="H24" s="157"/>
      <c r="I24" s="156"/>
      <c r="J24" s="161"/>
      <c r="K24" s="159"/>
      <c r="L24" s="159"/>
      <c r="M24" s="159"/>
      <c r="N24" s="159"/>
      <c r="O24" s="159"/>
      <c r="P24" s="159"/>
      <c r="Q24" s="159"/>
      <c r="R24" s="159"/>
      <c r="S24" s="159"/>
      <c r="T24" s="159"/>
      <c r="U24" s="158"/>
      <c r="V24" s="160"/>
      <c r="W24" s="161"/>
      <c r="X24" s="161"/>
      <c r="Y24" s="161"/>
      <c r="Z24" s="162"/>
      <c r="AA24" s="121" t="e">
        <f>+#REF!-#REF!</f>
        <v>#REF!</v>
      </c>
      <c r="AB24" s="155">
        <v>0</v>
      </c>
    </row>
    <row r="25" spans="1:28" ht="12.75" customHeight="1" x14ac:dyDescent="0.2">
      <c r="A25" s="129"/>
      <c r="B25" s="121"/>
      <c r="C25" s="121"/>
      <c r="D25" s="121"/>
      <c r="E25" s="173" t="s">
        <v>67</v>
      </c>
      <c r="F25" s="173"/>
      <c r="G25" s="164"/>
      <c r="H25" s="157">
        <v>459331.80200000003</v>
      </c>
      <c r="I25" s="156">
        <v>31559.846730000001</v>
      </c>
      <c r="J25" s="161">
        <v>10892.31041</v>
      </c>
      <c r="K25" s="159">
        <v>46560.754789999999</v>
      </c>
      <c r="L25" s="159">
        <v>34777.232400000001</v>
      </c>
      <c r="M25" s="159">
        <v>55122.520259999998</v>
      </c>
      <c r="N25" s="159">
        <v>68695.364930000011</v>
      </c>
      <c r="O25" s="159">
        <v>0</v>
      </c>
      <c r="P25" s="159">
        <v>0</v>
      </c>
      <c r="Q25" s="159">
        <v>0</v>
      </c>
      <c r="R25" s="159">
        <v>0</v>
      </c>
      <c r="S25" s="159">
        <v>0</v>
      </c>
      <c r="T25" s="159">
        <v>0</v>
      </c>
      <c r="U25" s="158">
        <f t="shared" ref="U25:U26" si="6">SUM(I25:T25)</f>
        <v>247608.02952000001</v>
      </c>
      <c r="V25" s="160"/>
      <c r="W25" s="161"/>
      <c r="X25" s="161"/>
      <c r="Y25" s="161"/>
      <c r="Z25" s="162">
        <f>H25-U25</f>
        <v>211723.77248000001</v>
      </c>
      <c r="AA25" s="121" t="e">
        <f>+#REF!-#REF!</f>
        <v>#REF!</v>
      </c>
      <c r="AB25" s="155">
        <v>0.43591000000014901</v>
      </c>
    </row>
    <row r="26" spans="1:28" ht="12.75" customHeight="1" x14ac:dyDescent="0.2">
      <c r="A26" s="129"/>
      <c r="B26" s="121"/>
      <c r="C26" s="121"/>
      <c r="D26" s="121"/>
      <c r="E26" s="173" t="s">
        <v>68</v>
      </c>
      <c r="F26" s="173"/>
      <c r="G26" s="164"/>
      <c r="H26" s="157">
        <v>1791923.6910000001</v>
      </c>
      <c r="I26" s="156">
        <v>96256.162180000014</v>
      </c>
      <c r="J26" s="161">
        <v>129073.12845999999</v>
      </c>
      <c r="K26" s="159">
        <v>226718.81278000001</v>
      </c>
      <c r="L26" s="159">
        <v>264484.19075999997</v>
      </c>
      <c r="M26" s="159">
        <v>157561.25753</v>
      </c>
      <c r="N26" s="159">
        <v>279991.56835000002</v>
      </c>
      <c r="O26" s="159">
        <v>0</v>
      </c>
      <c r="P26" s="159">
        <v>0</v>
      </c>
      <c r="Q26" s="159">
        <v>0</v>
      </c>
      <c r="R26" s="159">
        <v>0</v>
      </c>
      <c r="S26" s="159">
        <v>0</v>
      </c>
      <c r="T26" s="159">
        <v>0</v>
      </c>
      <c r="U26" s="158">
        <f t="shared" si="6"/>
        <v>1154085.1200600001</v>
      </c>
      <c r="V26" s="160"/>
      <c r="W26" s="161"/>
      <c r="X26" s="161"/>
      <c r="Y26" s="161"/>
      <c r="Z26" s="162">
        <f>H26-U26</f>
        <v>637838.57094000001</v>
      </c>
      <c r="AA26" s="121" t="e">
        <f>+#REF!-#REF!</f>
        <v>#REF!</v>
      </c>
      <c r="AB26" s="155">
        <v>3.3559999894350767E-2</v>
      </c>
    </row>
    <row r="27" spans="1:28" x14ac:dyDescent="0.2">
      <c r="A27" s="129"/>
      <c r="B27" s="121"/>
      <c r="C27" s="702" t="s">
        <v>69</v>
      </c>
      <c r="D27" s="702"/>
      <c r="E27" s="702"/>
      <c r="F27" s="702"/>
      <c r="G27" s="703"/>
      <c r="H27" s="157"/>
      <c r="I27" s="156"/>
      <c r="J27" s="161"/>
      <c r="K27" s="159"/>
      <c r="L27" s="159"/>
      <c r="M27" s="159"/>
      <c r="N27" s="159"/>
      <c r="O27" s="159"/>
      <c r="P27" s="159"/>
      <c r="Q27" s="159"/>
      <c r="R27" s="159"/>
      <c r="S27" s="159"/>
      <c r="T27" s="159"/>
      <c r="U27" s="158"/>
      <c r="V27" s="160"/>
      <c r="W27" s="161"/>
      <c r="X27" s="161"/>
      <c r="Y27" s="161"/>
      <c r="Z27" s="162"/>
      <c r="AA27" s="121" t="e">
        <f>+#REF!-#REF!</f>
        <v>#REF!</v>
      </c>
      <c r="AB27" s="155">
        <v>0</v>
      </c>
    </row>
    <row r="28" spans="1:28" ht="12.75" customHeight="1" x14ac:dyDescent="0.2">
      <c r="A28" s="129"/>
      <c r="B28" s="121"/>
      <c r="C28" s="121"/>
      <c r="D28" s="121"/>
      <c r="E28" s="173" t="s">
        <v>70</v>
      </c>
      <c r="F28" s="173"/>
      <c r="G28" s="164"/>
      <c r="H28" s="157">
        <v>6818182.2680000002</v>
      </c>
      <c r="I28" s="156">
        <v>724379.24122000008</v>
      </c>
      <c r="J28" s="161">
        <v>440553.43148000003</v>
      </c>
      <c r="K28" s="159">
        <v>479629.67985000001</v>
      </c>
      <c r="L28" s="159">
        <v>467319.17436</v>
      </c>
      <c r="M28" s="159">
        <v>440190.07876999996</v>
      </c>
      <c r="N28" s="159">
        <v>337034.30754000001</v>
      </c>
      <c r="O28" s="159">
        <v>0</v>
      </c>
      <c r="P28" s="159">
        <v>0</v>
      </c>
      <c r="Q28" s="159">
        <v>0</v>
      </c>
      <c r="R28" s="159">
        <v>0</v>
      </c>
      <c r="S28" s="159">
        <v>0</v>
      </c>
      <c r="T28" s="159">
        <v>0</v>
      </c>
      <c r="U28" s="158">
        <f t="shared" ref="U28:U29" si="7">SUM(I28:T28)</f>
        <v>2889105.91322</v>
      </c>
      <c r="V28" s="160"/>
      <c r="W28" s="161"/>
      <c r="X28" s="161"/>
      <c r="Y28" s="161"/>
      <c r="Z28" s="162">
        <f>H28-U28</f>
        <v>3929076.3547800002</v>
      </c>
      <c r="AA28" s="121" t="e">
        <f>+#REF!-#REF!</f>
        <v>#REF!</v>
      </c>
      <c r="AB28" s="155">
        <v>-0.43056999985128641</v>
      </c>
    </row>
    <row r="29" spans="1:28" ht="12.75" customHeight="1" x14ac:dyDescent="0.2">
      <c r="A29" s="129"/>
      <c r="B29" s="121"/>
      <c r="C29" s="121"/>
      <c r="D29" s="121"/>
      <c r="E29" s="173" t="s">
        <v>71</v>
      </c>
      <c r="F29" s="173"/>
      <c r="G29" s="164"/>
      <c r="H29" s="157">
        <v>5123030.6770000001</v>
      </c>
      <c r="I29" s="156">
        <v>77805.030809999997</v>
      </c>
      <c r="J29" s="161">
        <v>383826.96955000004</v>
      </c>
      <c r="K29" s="159">
        <v>469520.89697</v>
      </c>
      <c r="L29" s="159">
        <v>533524.29497000005</v>
      </c>
      <c r="M29" s="159">
        <v>600240.43839000002</v>
      </c>
      <c r="N29" s="159">
        <v>739742.91035999998</v>
      </c>
      <c r="O29" s="159">
        <v>0</v>
      </c>
      <c r="P29" s="159">
        <v>0</v>
      </c>
      <c r="Q29" s="159">
        <v>0</v>
      </c>
      <c r="R29" s="159">
        <v>0</v>
      </c>
      <c r="S29" s="159">
        <v>0</v>
      </c>
      <c r="T29" s="159">
        <v>0</v>
      </c>
      <c r="U29" s="158">
        <f t="shared" si="7"/>
        <v>2804660.5410500001</v>
      </c>
      <c r="V29" s="160"/>
      <c r="W29" s="161"/>
      <c r="X29" s="161"/>
      <c r="Y29" s="161"/>
      <c r="Z29" s="162">
        <f>H29-U29</f>
        <v>2318370.13595</v>
      </c>
      <c r="AA29" s="121" t="e">
        <f>+#REF!-#REF!</f>
        <v>#REF!</v>
      </c>
      <c r="AB29" s="155">
        <v>0.4679500013589859</v>
      </c>
    </row>
    <row r="30" spans="1:28" ht="12.75" customHeight="1" x14ac:dyDescent="0.2">
      <c r="A30" s="129"/>
      <c r="B30" s="130" t="s">
        <v>72</v>
      </c>
      <c r="C30" s="148"/>
      <c r="D30" s="121"/>
      <c r="E30" s="173"/>
      <c r="F30" s="173"/>
      <c r="G30" s="164"/>
      <c r="H30" s="165">
        <f>H31+H35+H37+H46+H47+H48+H54+H55+H56+H57+H58+H59+H60+H63+H61</f>
        <v>417508989.51099998</v>
      </c>
      <c r="I30" s="175">
        <f>I31+I35+I37+I46+I47+I48+I54+I55+I56+I57+I58+I59+I60+I63</f>
        <v>28356908.747899994</v>
      </c>
      <c r="J30" s="175">
        <f t="shared" ref="J30:T30" si="8">J31+J35+J37+J46+J47+J48+J54+J55+J56+J57+J58+J59+J60+J63</f>
        <v>20250969.917430002</v>
      </c>
      <c r="K30" s="165">
        <f t="shared" si="8"/>
        <v>20828640.803550001</v>
      </c>
      <c r="L30" s="165">
        <f t="shared" si="8"/>
        <v>32016682.791159999</v>
      </c>
      <c r="M30" s="165">
        <f t="shared" si="8"/>
        <v>38058942.388289988</v>
      </c>
      <c r="N30" s="165">
        <f t="shared" si="8"/>
        <v>42513455.054179981</v>
      </c>
      <c r="O30" s="165">
        <f t="shared" si="8"/>
        <v>0</v>
      </c>
      <c r="P30" s="165">
        <f t="shared" si="8"/>
        <v>0</v>
      </c>
      <c r="Q30" s="165">
        <f t="shared" si="8"/>
        <v>0</v>
      </c>
      <c r="R30" s="165">
        <f t="shared" si="8"/>
        <v>0</v>
      </c>
      <c r="S30" s="165">
        <f t="shared" si="8"/>
        <v>0</v>
      </c>
      <c r="T30" s="165">
        <f t="shared" si="8"/>
        <v>0</v>
      </c>
      <c r="U30" s="176">
        <f t="shared" ref="U30" si="9">U31+U35+U37+U46+U47+U48+U54+U55+U56+U57+U58+U59+U60+U63+U61</f>
        <v>182025599.70250994</v>
      </c>
      <c r="V30" s="172"/>
      <c r="W30" s="166"/>
      <c r="X30" s="166"/>
      <c r="Y30" s="166"/>
      <c r="Z30" s="154">
        <f>H30-U30</f>
        <v>235483389.80849004</v>
      </c>
      <c r="AA30" s="121" t="e">
        <f>+#REF!-#REF!</f>
        <v>#REF!</v>
      </c>
      <c r="AB30" s="155">
        <v>-3.0540049076080322E-2</v>
      </c>
    </row>
    <row r="31" spans="1:28" s="155" customFormat="1" ht="12.75" customHeight="1" x14ac:dyDescent="0.2">
      <c r="A31" s="162"/>
      <c r="B31" s="121"/>
      <c r="C31" s="173" t="s">
        <v>73</v>
      </c>
      <c r="D31" s="121"/>
      <c r="E31" s="121"/>
      <c r="F31" s="177"/>
      <c r="G31" s="178"/>
      <c r="H31" s="157">
        <f t="shared" ref="H31" si="10">+H32+H33+H34</f>
        <v>301322664.60300004</v>
      </c>
      <c r="I31" s="156">
        <f>+I32+I33+I34</f>
        <v>18776740.935239997</v>
      </c>
      <c r="J31" s="161">
        <f t="shared" ref="J31:N31" si="11">+J32+J33+J34</f>
        <v>16236146.551860001</v>
      </c>
      <c r="K31" s="157">
        <f t="shared" si="11"/>
        <v>17497398.209230002</v>
      </c>
      <c r="L31" s="159">
        <f t="shared" si="11"/>
        <v>24156555.682999998</v>
      </c>
      <c r="M31" s="159">
        <f t="shared" si="11"/>
        <v>28925326.47027</v>
      </c>
      <c r="N31" s="159">
        <f t="shared" si="11"/>
        <v>30839146.360589996</v>
      </c>
      <c r="O31" s="159">
        <v>0</v>
      </c>
      <c r="P31" s="159">
        <v>0</v>
      </c>
      <c r="Q31" s="159">
        <v>0</v>
      </c>
      <c r="R31" s="159">
        <v>0</v>
      </c>
      <c r="S31" s="159">
        <v>0</v>
      </c>
      <c r="T31" s="159">
        <v>0</v>
      </c>
      <c r="U31" s="158">
        <f t="shared" ref="U31" si="12">+U32+U33+U34</f>
        <v>136431314.21018994</v>
      </c>
      <c r="V31" s="160"/>
      <c r="W31" s="161"/>
      <c r="X31" s="161"/>
      <c r="Y31" s="161"/>
      <c r="Z31" s="162">
        <f>H31-U31</f>
        <v>164891350.39281011</v>
      </c>
      <c r="AA31" s="121" t="e">
        <f>+#REF!-#REF!</f>
        <v>#REF!</v>
      </c>
      <c r="AB31" s="155">
        <v>17.168430030345917</v>
      </c>
    </row>
    <row r="32" spans="1:28" s="155" customFormat="1" ht="12.75" customHeight="1" x14ac:dyDescent="0.2">
      <c r="A32" s="162"/>
      <c r="B32" s="149"/>
      <c r="C32" s="179"/>
      <c r="D32" s="121"/>
      <c r="E32" s="180" t="s">
        <v>74</v>
      </c>
      <c r="F32" s="177"/>
      <c r="G32" s="164"/>
      <c r="H32" s="157">
        <v>360489610.37400001</v>
      </c>
      <c r="I32" s="156">
        <v>30729928.097920001</v>
      </c>
      <c r="J32" s="161">
        <v>23628213.569529999</v>
      </c>
      <c r="K32" s="159">
        <v>26987147.829450004</v>
      </c>
      <c r="L32" s="159">
        <v>33184655.828279998</v>
      </c>
      <c r="M32" s="159">
        <v>32688282.992089998</v>
      </c>
      <c r="N32" s="159">
        <v>34824457.563249998</v>
      </c>
      <c r="O32" s="159">
        <v>0</v>
      </c>
      <c r="P32" s="159">
        <v>0</v>
      </c>
      <c r="Q32" s="159">
        <v>0</v>
      </c>
      <c r="R32" s="159">
        <v>0</v>
      </c>
      <c r="S32" s="159">
        <v>0</v>
      </c>
      <c r="T32" s="159">
        <v>0</v>
      </c>
      <c r="U32" s="158">
        <f t="shared" ref="U32:U35" si="13">SUM(I32:T32)</f>
        <v>182042685.88051999</v>
      </c>
      <c r="V32" s="160"/>
      <c r="W32" s="161"/>
      <c r="X32" s="161"/>
      <c r="Y32" s="161"/>
      <c r="Z32" s="162">
        <f>H32-U32</f>
        <v>178446924.49348003</v>
      </c>
      <c r="AA32" s="121" t="e">
        <f>+#REF!-#REF!</f>
        <v>#REF!</v>
      </c>
      <c r="AB32" s="155">
        <v>0.34689003229141235</v>
      </c>
    </row>
    <row r="33" spans="1:28" s="155" customFormat="1" ht="12.75" customHeight="1" x14ac:dyDescent="0.2">
      <c r="A33" s="162"/>
      <c r="B33" s="149"/>
      <c r="C33" s="179"/>
      <c r="D33" s="121"/>
      <c r="E33" s="180" t="s">
        <v>75</v>
      </c>
      <c r="F33" s="177"/>
      <c r="G33" s="164"/>
      <c r="H33" s="157">
        <v>149823980.183</v>
      </c>
      <c r="I33" s="156">
        <v>3529370.3886099998</v>
      </c>
      <c r="J33" s="161">
        <v>11130423.847820001</v>
      </c>
      <c r="K33" s="159">
        <v>11682969.60579</v>
      </c>
      <c r="L33" s="159">
        <v>11388901.296339998</v>
      </c>
      <c r="M33" s="159">
        <v>12281816.734439999</v>
      </c>
      <c r="N33" s="159">
        <v>14412080.88515</v>
      </c>
      <c r="O33" s="159">
        <v>0</v>
      </c>
      <c r="P33" s="159">
        <v>0</v>
      </c>
      <c r="Q33" s="159">
        <v>0</v>
      </c>
      <c r="R33" s="159">
        <v>0</v>
      </c>
      <c r="S33" s="159">
        <v>0</v>
      </c>
      <c r="T33" s="159">
        <v>0</v>
      </c>
      <c r="U33" s="158">
        <f t="shared" si="13"/>
        <v>64425562.758149996</v>
      </c>
      <c r="V33" s="160"/>
      <c r="W33" s="161"/>
      <c r="X33" s="161"/>
      <c r="Y33" s="161"/>
      <c r="Z33" s="162">
        <f>H33-U33</f>
        <v>85398417.424850002</v>
      </c>
      <c r="AA33" s="121" t="e">
        <f>+#REF!-#REF!</f>
        <v>#REF!</v>
      </c>
      <c r="AB33" s="155">
        <v>-231.0765900015831</v>
      </c>
    </row>
    <row r="34" spans="1:28" s="155" customFormat="1" ht="12.75" customHeight="1" x14ac:dyDescent="0.2">
      <c r="A34" s="162"/>
      <c r="B34" s="149"/>
      <c r="C34" s="179"/>
      <c r="D34" s="121"/>
      <c r="E34" s="180" t="s">
        <v>76</v>
      </c>
      <c r="F34" s="177"/>
      <c r="G34" s="178"/>
      <c r="H34" s="157">
        <v>-208990925.954</v>
      </c>
      <c r="I34" s="156">
        <v>-15482557.551290002</v>
      </c>
      <c r="J34" s="161">
        <v>-18522490.865490001</v>
      </c>
      <c r="K34" s="159">
        <v>-21172719.226009998</v>
      </c>
      <c r="L34" s="159">
        <v>-20417001.44162</v>
      </c>
      <c r="M34" s="159">
        <v>-16044773.25626</v>
      </c>
      <c r="N34" s="159">
        <v>-18397392.087810002</v>
      </c>
      <c r="O34" s="159">
        <v>0</v>
      </c>
      <c r="P34" s="159">
        <v>0</v>
      </c>
      <c r="Q34" s="159">
        <v>0</v>
      </c>
      <c r="R34" s="159">
        <v>0</v>
      </c>
      <c r="S34" s="159">
        <v>0</v>
      </c>
      <c r="T34" s="159">
        <v>0</v>
      </c>
      <c r="U34" s="158">
        <f t="shared" si="13"/>
        <v>-110036934.42848003</v>
      </c>
      <c r="V34" s="160"/>
      <c r="W34" s="161"/>
      <c r="X34" s="161"/>
      <c r="Y34" s="161"/>
      <c r="Z34" s="162">
        <f>H34-U34</f>
        <v>-98953991.525519967</v>
      </c>
      <c r="AA34" s="121" t="e">
        <f>+#REF!-#REF!</f>
        <v>#REF!</v>
      </c>
      <c r="AB34" s="155">
        <v>247.8981299996376</v>
      </c>
    </row>
    <row r="35" spans="1:28" s="155" customFormat="1" ht="12.75" customHeight="1" x14ac:dyDescent="0.2">
      <c r="A35" s="162"/>
      <c r="B35" s="121"/>
      <c r="C35" s="173" t="s">
        <v>77</v>
      </c>
      <c r="D35" s="173"/>
      <c r="E35" s="173"/>
      <c r="F35" s="173"/>
      <c r="G35" s="164"/>
      <c r="H35" s="157">
        <v>6292.9740000000002</v>
      </c>
      <c r="I35" s="156">
        <v>92.286479999999997</v>
      </c>
      <c r="J35" s="161">
        <v>357.09545000000003</v>
      </c>
      <c r="K35" s="159">
        <v>176.53769</v>
      </c>
      <c r="L35" s="159">
        <v>68.885259999999988</v>
      </c>
      <c r="M35" s="159">
        <v>1661.1098300000001</v>
      </c>
      <c r="N35" s="159">
        <v>794.15470999999991</v>
      </c>
      <c r="O35" s="159">
        <v>0</v>
      </c>
      <c r="P35" s="159">
        <v>0</v>
      </c>
      <c r="Q35" s="159">
        <v>0</v>
      </c>
      <c r="R35" s="159">
        <v>0</v>
      </c>
      <c r="S35" s="159">
        <v>0</v>
      </c>
      <c r="T35" s="159">
        <v>0</v>
      </c>
      <c r="U35" s="158">
        <f t="shared" si="13"/>
        <v>3150.0694199999998</v>
      </c>
      <c r="V35" s="160"/>
      <c r="W35" s="161"/>
      <c r="X35" s="161"/>
      <c r="Y35" s="161"/>
      <c r="Z35" s="162">
        <f>H35-U35</f>
        <v>3142.9045800000004</v>
      </c>
      <c r="AA35" s="121" t="e">
        <f>+#REF!-#REF!</f>
        <v>#REF!</v>
      </c>
      <c r="AB35" s="155">
        <v>0</v>
      </c>
    </row>
    <row r="36" spans="1:28" s="155" customFormat="1" ht="12.75" customHeight="1" x14ac:dyDescent="0.2">
      <c r="A36" s="162"/>
      <c r="B36" s="121"/>
      <c r="C36" s="173"/>
      <c r="D36" s="173"/>
      <c r="E36" s="173"/>
      <c r="F36" s="173"/>
      <c r="G36" s="164"/>
      <c r="H36" s="157"/>
      <c r="I36" s="156"/>
      <c r="J36" s="161"/>
      <c r="K36" s="159"/>
      <c r="L36" s="159"/>
      <c r="M36" s="159"/>
      <c r="N36" s="159"/>
      <c r="O36" s="159"/>
      <c r="P36" s="159"/>
      <c r="Q36" s="159"/>
      <c r="R36" s="159"/>
      <c r="S36" s="159"/>
      <c r="T36" s="159"/>
      <c r="U36" s="158"/>
      <c r="V36" s="160"/>
      <c r="W36" s="161"/>
      <c r="X36" s="161"/>
      <c r="Y36" s="161"/>
      <c r="Z36" s="162"/>
      <c r="AA36" s="121" t="e">
        <f>+#REF!-#REF!</f>
        <v>#REF!</v>
      </c>
      <c r="AB36" s="155">
        <v>0</v>
      </c>
    </row>
    <row r="37" spans="1:28" x14ac:dyDescent="0.2">
      <c r="A37" s="129"/>
      <c r="B37" s="121"/>
      <c r="C37" s="121" t="s">
        <v>78</v>
      </c>
      <c r="D37" s="121"/>
      <c r="E37" s="173"/>
      <c r="F37" s="173"/>
      <c r="G37" s="164"/>
      <c r="H37" s="181">
        <f t="shared" ref="H37:T37" si="14">SUM(H38:H45)</f>
        <v>36286895.200999998</v>
      </c>
      <c r="I37" s="182">
        <f t="shared" si="14"/>
        <v>1991407.8530100002</v>
      </c>
      <c r="J37" s="183">
        <f t="shared" si="14"/>
        <v>-332200.97429000004</v>
      </c>
      <c r="K37" s="184">
        <f t="shared" si="14"/>
        <v>563077.92375999992</v>
      </c>
      <c r="L37" s="184">
        <f t="shared" si="14"/>
        <v>1709727.8021600002</v>
      </c>
      <c r="M37" s="184">
        <f t="shared" si="14"/>
        <v>1373222.0260700001</v>
      </c>
      <c r="N37" s="184">
        <f t="shared" si="14"/>
        <v>1001956.2987799998</v>
      </c>
      <c r="O37" s="184">
        <f t="shared" si="14"/>
        <v>0</v>
      </c>
      <c r="P37" s="184">
        <f t="shared" si="14"/>
        <v>0</v>
      </c>
      <c r="Q37" s="184">
        <f t="shared" si="14"/>
        <v>0</v>
      </c>
      <c r="R37" s="184">
        <f t="shared" si="14"/>
        <v>0</v>
      </c>
      <c r="S37" s="184">
        <f t="shared" si="14"/>
        <v>0</v>
      </c>
      <c r="T37" s="184">
        <f t="shared" si="14"/>
        <v>0</v>
      </c>
      <c r="U37" s="185">
        <f t="shared" ref="U37:U48" si="15">SUM(I37:T37)</f>
        <v>6307190.92949</v>
      </c>
      <c r="V37" s="136"/>
      <c r="W37" s="161"/>
      <c r="X37" s="161"/>
      <c r="Y37" s="161"/>
      <c r="Z37" s="162">
        <f>H37-U37</f>
        <v>29979704.271509998</v>
      </c>
      <c r="AA37" s="121" t="e">
        <f>+#REF!-#REF!</f>
        <v>#REF!</v>
      </c>
      <c r="AB37" s="155">
        <v>-1.8989987671375275E-2</v>
      </c>
    </row>
    <row r="38" spans="1:28" ht="12.75" customHeight="1" x14ac:dyDescent="0.2">
      <c r="A38" s="129"/>
      <c r="B38" s="121"/>
      <c r="C38" s="121"/>
      <c r="D38" s="121"/>
      <c r="E38" s="173" t="s">
        <v>79</v>
      </c>
      <c r="F38" s="173"/>
      <c r="G38" s="164"/>
      <c r="H38" s="157">
        <v>12364409.929</v>
      </c>
      <c r="I38" s="156">
        <v>78054.261659999989</v>
      </c>
      <c r="J38" s="161">
        <v>392.34933000000001</v>
      </c>
      <c r="K38" s="159">
        <v>1985.5041799999999</v>
      </c>
      <c r="L38" s="159">
        <v>483523.78136999998</v>
      </c>
      <c r="M38" s="159">
        <v>732721.62242999999</v>
      </c>
      <c r="N38" s="159">
        <v>156914.30515999999</v>
      </c>
      <c r="O38" s="159">
        <v>0</v>
      </c>
      <c r="P38" s="159">
        <v>0</v>
      </c>
      <c r="Q38" s="159">
        <v>0</v>
      </c>
      <c r="R38" s="159">
        <v>0</v>
      </c>
      <c r="S38" s="159">
        <v>0</v>
      </c>
      <c r="T38" s="159">
        <v>0</v>
      </c>
      <c r="U38" s="158">
        <f t="shared" si="15"/>
        <v>1453591.8241300001</v>
      </c>
      <c r="V38" s="160"/>
      <c r="W38" s="161"/>
      <c r="X38" s="161"/>
      <c r="Y38" s="161"/>
      <c r="Z38" s="162">
        <f>H38-U38</f>
        <v>10910818.104869999</v>
      </c>
      <c r="AA38" s="121" t="e">
        <f>+#REF!-#REF!</f>
        <v>#REF!</v>
      </c>
      <c r="AB38" s="155">
        <v>-0.12763000279664993</v>
      </c>
    </row>
    <row r="39" spans="1:28" ht="12.75" customHeight="1" x14ac:dyDescent="0.2">
      <c r="A39" s="129"/>
      <c r="B39" s="121"/>
      <c r="C39" s="121"/>
      <c r="D39" s="121"/>
      <c r="E39" s="173" t="s">
        <v>80</v>
      </c>
      <c r="F39" s="173"/>
      <c r="G39" s="164"/>
      <c r="H39" s="157">
        <v>4289.2619999999997</v>
      </c>
      <c r="I39" s="156">
        <v>425.25809999999996</v>
      </c>
      <c r="J39" s="161">
        <v>224.7467</v>
      </c>
      <c r="K39" s="159">
        <v>5.7259999999999998E-2</v>
      </c>
      <c r="L39" s="159">
        <v>509.38524999999998</v>
      </c>
      <c r="M39" s="159">
        <v>128.83141000000001</v>
      </c>
      <c r="N39" s="159">
        <v>367.59075999999999</v>
      </c>
      <c r="O39" s="159">
        <v>0</v>
      </c>
      <c r="P39" s="159">
        <v>0</v>
      </c>
      <c r="Q39" s="159">
        <v>0</v>
      </c>
      <c r="R39" s="159">
        <v>0</v>
      </c>
      <c r="S39" s="159">
        <v>0</v>
      </c>
      <c r="T39" s="159">
        <v>0</v>
      </c>
      <c r="U39" s="158">
        <f t="shared" si="15"/>
        <v>1655.8694800000001</v>
      </c>
      <c r="V39" s="160"/>
      <c r="W39" s="161"/>
      <c r="X39" s="161"/>
      <c r="Y39" s="161"/>
      <c r="Z39" s="162">
        <f>H39-U39</f>
        <v>2633.3925199999994</v>
      </c>
      <c r="AA39" s="121" t="e">
        <f>+#REF!-#REF!</f>
        <v>#REF!</v>
      </c>
      <c r="AB39" s="155">
        <v>-0.42710999999962951</v>
      </c>
    </row>
    <row r="40" spans="1:28" s="155" customFormat="1" ht="12.75" customHeight="1" x14ac:dyDescent="0.2">
      <c r="A40" s="162"/>
      <c r="B40" s="121"/>
      <c r="C40" s="121"/>
      <c r="D40" s="149"/>
      <c r="E40" s="173" t="s">
        <v>81</v>
      </c>
      <c r="F40" s="173"/>
      <c r="G40" s="164"/>
      <c r="H40" s="157">
        <v>3992258.45</v>
      </c>
      <c r="I40" s="156">
        <v>59461.878259999998</v>
      </c>
      <c r="J40" s="161">
        <v>2032.2235900000001</v>
      </c>
      <c r="K40" s="159">
        <v>10311.17325</v>
      </c>
      <c r="L40" s="159">
        <v>139841.67874999999</v>
      </c>
      <c r="M40" s="159">
        <v>10883.90263</v>
      </c>
      <c r="N40" s="159">
        <v>60400.805850000004</v>
      </c>
      <c r="O40" s="159">
        <v>0</v>
      </c>
      <c r="P40" s="159">
        <v>0</v>
      </c>
      <c r="Q40" s="159">
        <v>0</v>
      </c>
      <c r="R40" s="159">
        <v>0</v>
      </c>
      <c r="S40" s="159">
        <v>0</v>
      </c>
      <c r="T40" s="159">
        <v>0</v>
      </c>
      <c r="U40" s="158">
        <f t="shared" si="15"/>
        <v>282931.66232999996</v>
      </c>
      <c r="V40" s="160"/>
      <c r="W40" s="161"/>
      <c r="X40" s="161"/>
      <c r="Y40" s="161"/>
      <c r="Z40" s="162">
        <f>H40-U40</f>
        <v>3709326.7876700005</v>
      </c>
      <c r="AA40" s="121" t="e">
        <f>+#REF!-#REF!</f>
        <v>#REF!</v>
      </c>
      <c r="AB40" s="155">
        <v>0.15277000050991774</v>
      </c>
    </row>
    <row r="41" spans="1:28" ht="12.75" customHeight="1" x14ac:dyDescent="0.2">
      <c r="A41" s="129"/>
      <c r="B41" s="121"/>
      <c r="C41" s="121"/>
      <c r="D41" s="121"/>
      <c r="E41" s="173" t="s">
        <v>82</v>
      </c>
      <c r="F41" s="173"/>
      <c r="G41" s="164"/>
      <c r="H41" s="157">
        <v>7045730.7649999997</v>
      </c>
      <c r="I41" s="156">
        <v>452189.48809</v>
      </c>
      <c r="J41" s="161">
        <v>22998.270989999997</v>
      </c>
      <c r="K41" s="159">
        <v>530527.09701999999</v>
      </c>
      <c r="L41" s="159">
        <v>507927.39297000004</v>
      </c>
      <c r="M41" s="159">
        <v>299222.33916999999</v>
      </c>
      <c r="N41" s="159">
        <v>329870.84451999998</v>
      </c>
      <c r="O41" s="159">
        <v>0</v>
      </c>
      <c r="P41" s="159">
        <v>0</v>
      </c>
      <c r="Q41" s="159">
        <v>0</v>
      </c>
      <c r="R41" s="159">
        <v>0</v>
      </c>
      <c r="S41" s="159">
        <v>0</v>
      </c>
      <c r="T41" s="159">
        <v>0</v>
      </c>
      <c r="U41" s="158">
        <f t="shared" si="15"/>
        <v>2142735.4327599998</v>
      </c>
      <c r="V41" s="160"/>
      <c r="W41" s="161"/>
      <c r="X41" s="161"/>
      <c r="Y41" s="161"/>
      <c r="Z41" s="162">
        <f>H41-U41</f>
        <v>4902995.3322400004</v>
      </c>
      <c r="AA41" s="121" t="e">
        <f>+#REF!-#REF!</f>
        <v>#REF!</v>
      </c>
      <c r="AB41" s="155">
        <v>0.15080999955534935</v>
      </c>
    </row>
    <row r="42" spans="1:28" ht="12.75" customHeight="1" x14ac:dyDescent="0.2">
      <c r="A42" s="129"/>
      <c r="B42" s="121"/>
      <c r="C42" s="121"/>
      <c r="D42" s="121"/>
      <c r="E42" s="708" t="s">
        <v>83</v>
      </c>
      <c r="F42" s="708"/>
      <c r="G42" s="709"/>
      <c r="H42" s="157">
        <v>10149800.619000001</v>
      </c>
      <c r="I42" s="156">
        <v>813649.3255700001</v>
      </c>
      <c r="J42" s="161">
        <v>4202.4741599999998</v>
      </c>
      <c r="K42" s="159">
        <v>2015.8130000000001</v>
      </c>
      <c r="L42" s="159">
        <v>67153.999580000003</v>
      </c>
      <c r="M42" s="159">
        <v>54639.81</v>
      </c>
      <c r="N42" s="159">
        <v>70572.898140000005</v>
      </c>
      <c r="O42" s="159">
        <v>0</v>
      </c>
      <c r="P42" s="159">
        <v>0</v>
      </c>
      <c r="Q42" s="159">
        <v>0</v>
      </c>
      <c r="R42" s="159">
        <v>0</v>
      </c>
      <c r="S42" s="159">
        <v>0</v>
      </c>
      <c r="T42" s="159">
        <v>0</v>
      </c>
      <c r="U42" s="158">
        <f t="shared" si="15"/>
        <v>1012234.32045</v>
      </c>
      <c r="V42" s="160"/>
      <c r="W42" s="161"/>
      <c r="X42" s="161"/>
      <c r="Y42" s="161"/>
      <c r="Z42" s="162">
        <f>H42-U42</f>
        <v>9137566.2985500004</v>
      </c>
      <c r="AA42" s="121" t="e">
        <f>+#REF!-#REF!</f>
        <v>#REF!</v>
      </c>
      <c r="AB42" s="155">
        <v>-1.2929998338222504E-2</v>
      </c>
    </row>
    <row r="43" spans="1:28" ht="12.75" customHeight="1" x14ac:dyDescent="0.2">
      <c r="A43" s="129"/>
      <c r="B43" s="121"/>
      <c r="C43" s="121"/>
      <c r="D43" s="121"/>
      <c r="E43" s="173" t="s">
        <v>84</v>
      </c>
      <c r="F43" s="179"/>
      <c r="G43" s="164"/>
      <c r="H43" s="157">
        <v>443812.05099999998</v>
      </c>
      <c r="I43" s="156">
        <v>122052.86167</v>
      </c>
      <c r="J43" s="161">
        <v>1675.7114099999999</v>
      </c>
      <c r="K43" s="159">
        <v>1833.711</v>
      </c>
      <c r="L43" s="159">
        <v>9587.91093</v>
      </c>
      <c r="M43" s="159">
        <v>11040.439970000001</v>
      </c>
      <c r="N43" s="159">
        <v>12029.512570000001</v>
      </c>
      <c r="O43" s="159">
        <v>0</v>
      </c>
      <c r="P43" s="159">
        <v>0</v>
      </c>
      <c r="Q43" s="159">
        <v>0</v>
      </c>
      <c r="R43" s="159">
        <v>0</v>
      </c>
      <c r="S43" s="159">
        <v>0</v>
      </c>
      <c r="T43" s="159">
        <v>0</v>
      </c>
      <c r="U43" s="158">
        <f t="shared" si="15"/>
        <v>158220.14754999999</v>
      </c>
      <c r="V43" s="160"/>
      <c r="W43" s="161"/>
      <c r="X43" s="161"/>
      <c r="Y43" s="161"/>
      <c r="Z43" s="162">
        <f>H43-U43</f>
        <v>285591.90344999998</v>
      </c>
      <c r="AA43" s="121" t="e">
        <f>+#REF!-#REF!</f>
        <v>#REF!</v>
      </c>
      <c r="AB43" s="155">
        <v>0.27573999995365739</v>
      </c>
    </row>
    <row r="44" spans="1:28" ht="12.75" customHeight="1" x14ac:dyDescent="0.2">
      <c r="A44" s="129"/>
      <c r="B44" s="121"/>
      <c r="C44" s="121"/>
      <c r="D44" s="121"/>
      <c r="E44" s="173" t="s">
        <v>85</v>
      </c>
      <c r="F44" s="179"/>
      <c r="G44" s="164" t="s">
        <v>86</v>
      </c>
      <c r="H44" s="157">
        <v>810323.924</v>
      </c>
      <c r="I44" s="156">
        <v>463724.63547000004</v>
      </c>
      <c r="J44" s="161">
        <v>-363726.75047000003</v>
      </c>
      <c r="K44" s="159">
        <v>16404.568050000002</v>
      </c>
      <c r="L44" s="159">
        <v>38381.618490000001</v>
      </c>
      <c r="M44" s="159">
        <v>264585.08046000003</v>
      </c>
      <c r="N44" s="159">
        <v>354138.52256000001</v>
      </c>
      <c r="O44" s="159">
        <v>0</v>
      </c>
      <c r="P44" s="159">
        <v>0</v>
      </c>
      <c r="Q44" s="159">
        <v>0</v>
      </c>
      <c r="R44" s="159">
        <v>0</v>
      </c>
      <c r="S44" s="159">
        <v>0</v>
      </c>
      <c r="T44" s="159">
        <v>0</v>
      </c>
      <c r="U44" s="158">
        <f t="shared" si="15"/>
        <v>773507.67455999996</v>
      </c>
      <c r="V44" s="160"/>
      <c r="W44" s="161"/>
      <c r="X44" s="161"/>
      <c r="Y44" s="161"/>
      <c r="Z44" s="162">
        <f>H44-U44</f>
        <v>36816.249440000043</v>
      </c>
      <c r="AA44" s="121" t="e">
        <f>+#REF!-#REF!</f>
        <v>#REF!</v>
      </c>
      <c r="AB44" s="155">
        <v>0.35910000000149012</v>
      </c>
    </row>
    <row r="45" spans="1:28" ht="12.75" customHeight="1" x14ac:dyDescent="0.2">
      <c r="A45" s="129"/>
      <c r="B45" s="121"/>
      <c r="C45" s="121"/>
      <c r="D45" s="121"/>
      <c r="E45" s="702" t="s">
        <v>87</v>
      </c>
      <c r="F45" s="702"/>
      <c r="G45" s="164" t="s">
        <v>88</v>
      </c>
      <c r="H45" s="181">
        <v>1476270.2009999999</v>
      </c>
      <c r="I45" s="182">
        <v>1850.14419</v>
      </c>
      <c r="J45" s="183">
        <v>0</v>
      </c>
      <c r="K45" s="184">
        <v>0</v>
      </c>
      <c r="L45" s="184">
        <v>462802.03482</v>
      </c>
      <c r="M45" s="184">
        <v>0</v>
      </c>
      <c r="N45" s="184">
        <v>17661.819219999998</v>
      </c>
      <c r="O45" s="184">
        <v>0</v>
      </c>
      <c r="P45" s="184">
        <v>0</v>
      </c>
      <c r="Q45" s="184">
        <v>0</v>
      </c>
      <c r="R45" s="184">
        <v>0</v>
      </c>
      <c r="S45" s="184">
        <v>0</v>
      </c>
      <c r="T45" s="184">
        <v>0</v>
      </c>
      <c r="U45" s="185">
        <f t="shared" si="15"/>
        <v>482313.99823000003</v>
      </c>
      <c r="V45" s="160"/>
      <c r="W45" s="161"/>
      <c r="X45" s="161"/>
      <c r="Y45" s="161"/>
      <c r="Z45" s="162">
        <f>H45-U45</f>
        <v>993956.20276999986</v>
      </c>
      <c r="AA45" s="121" t="e">
        <f>+#REF!-#REF!</f>
        <v>#REF!</v>
      </c>
      <c r="AB45" s="155">
        <v>-0.38974000001326203</v>
      </c>
    </row>
    <row r="46" spans="1:28" ht="12.75" customHeight="1" x14ac:dyDescent="0.2">
      <c r="A46" s="129"/>
      <c r="B46" s="121"/>
      <c r="C46" s="121" t="s">
        <v>89</v>
      </c>
      <c r="D46" s="121"/>
      <c r="E46" s="121"/>
      <c r="F46" s="179"/>
      <c r="G46" s="164"/>
      <c r="H46" s="157">
        <v>3252520.1609999998</v>
      </c>
      <c r="I46" s="156">
        <v>822372.64898000006</v>
      </c>
      <c r="J46" s="161">
        <v>5065.5160199999991</v>
      </c>
      <c r="K46" s="159">
        <v>9728.25641</v>
      </c>
      <c r="L46" s="159">
        <v>414007.68244999996</v>
      </c>
      <c r="M46" s="159">
        <v>166.27601000000001</v>
      </c>
      <c r="N46" s="159">
        <v>1550.9545500000002</v>
      </c>
      <c r="O46" s="159">
        <v>0</v>
      </c>
      <c r="P46" s="159">
        <v>0</v>
      </c>
      <c r="Q46" s="159">
        <v>0</v>
      </c>
      <c r="R46" s="159">
        <v>0</v>
      </c>
      <c r="S46" s="159">
        <v>0</v>
      </c>
      <c r="T46" s="159">
        <v>0</v>
      </c>
      <c r="U46" s="158">
        <f t="shared" si="15"/>
        <v>1252891.33442</v>
      </c>
      <c r="V46" s="160"/>
      <c r="W46" s="161"/>
      <c r="X46" s="161"/>
      <c r="Y46" s="161"/>
      <c r="Z46" s="162">
        <f>H46-U46</f>
        <v>1999628.8265799999</v>
      </c>
      <c r="AA46" s="121" t="e">
        <f>+#REF!-#REF!</f>
        <v>#REF!</v>
      </c>
      <c r="AB46" s="155">
        <v>-0.32648999989032745</v>
      </c>
    </row>
    <row r="47" spans="1:28" ht="12.75" customHeight="1" x14ac:dyDescent="0.2">
      <c r="A47" s="129"/>
      <c r="B47" s="121"/>
      <c r="C47" s="121" t="s">
        <v>90</v>
      </c>
      <c r="D47" s="121"/>
      <c r="E47" s="121"/>
      <c r="F47" s="179"/>
      <c r="G47" s="164"/>
      <c r="H47" s="157">
        <v>2076025.0209999999</v>
      </c>
      <c r="I47" s="156">
        <v>185135.75828000001</v>
      </c>
      <c r="J47" s="161">
        <v>113348.94443999999</v>
      </c>
      <c r="K47" s="159">
        <v>109092.40106</v>
      </c>
      <c r="L47" s="159">
        <v>124980.42164</v>
      </c>
      <c r="M47" s="159">
        <v>134741.58343999999</v>
      </c>
      <c r="N47" s="159">
        <v>156124.90093</v>
      </c>
      <c r="O47" s="159">
        <v>0</v>
      </c>
      <c r="P47" s="159">
        <v>0</v>
      </c>
      <c r="Q47" s="159">
        <v>0</v>
      </c>
      <c r="R47" s="159">
        <v>0</v>
      </c>
      <c r="S47" s="159">
        <v>0</v>
      </c>
      <c r="T47" s="159">
        <v>0</v>
      </c>
      <c r="U47" s="158">
        <f t="shared" si="15"/>
        <v>823424.00978999992</v>
      </c>
      <c r="V47" s="160"/>
      <c r="W47" s="161"/>
      <c r="X47" s="161"/>
      <c r="Y47" s="161"/>
      <c r="Z47" s="162">
        <f>H47-U47</f>
        <v>1252601.0112100001</v>
      </c>
      <c r="AA47" s="121" t="e">
        <f>+#REF!-#REF!</f>
        <v>#REF!</v>
      </c>
      <c r="AB47" s="155">
        <v>0</v>
      </c>
    </row>
    <row r="48" spans="1:28" ht="12.75" customHeight="1" x14ac:dyDescent="0.2">
      <c r="A48" s="129"/>
      <c r="B48" s="121"/>
      <c r="C48" s="121" t="s">
        <v>91</v>
      </c>
      <c r="D48" s="121"/>
      <c r="E48" s="121"/>
      <c r="F48" s="179"/>
      <c r="G48" s="164"/>
      <c r="H48" s="157">
        <v>63187855.795999996</v>
      </c>
      <c r="I48" s="156">
        <v>5701916.3850499997</v>
      </c>
      <c r="J48" s="161">
        <v>3646380.0375699997</v>
      </c>
      <c r="K48" s="159">
        <v>1833329.8482299997</v>
      </c>
      <c r="L48" s="159">
        <v>4773113.7970500002</v>
      </c>
      <c r="M48" s="159">
        <v>6807650.8402999993</v>
      </c>
      <c r="N48" s="159">
        <v>9500649.9982699994</v>
      </c>
      <c r="O48" s="159">
        <v>0</v>
      </c>
      <c r="P48" s="159">
        <v>0</v>
      </c>
      <c r="Q48" s="159">
        <v>0</v>
      </c>
      <c r="R48" s="159">
        <v>0</v>
      </c>
      <c r="S48" s="159">
        <v>0</v>
      </c>
      <c r="T48" s="159">
        <v>0</v>
      </c>
      <c r="U48" s="158">
        <f t="shared" si="15"/>
        <v>32263040.906469993</v>
      </c>
      <c r="V48" s="160"/>
      <c r="W48" s="161"/>
      <c r="X48" s="161"/>
      <c r="Y48" s="161"/>
      <c r="Z48" s="162">
        <f>H48-U48</f>
        <v>30924814.889530003</v>
      </c>
      <c r="AA48" s="121" t="e">
        <f>+#REF!-#REF!</f>
        <v>#REF!</v>
      </c>
      <c r="AB48" s="155">
        <v>-16.673299998044968</v>
      </c>
    </row>
    <row r="49" spans="1:28" ht="12.75" customHeight="1" x14ac:dyDescent="0.2">
      <c r="A49" s="129"/>
      <c r="B49" s="121"/>
      <c r="C49" s="121"/>
      <c r="D49" s="121"/>
      <c r="E49" s="186" t="s">
        <v>92</v>
      </c>
      <c r="F49" s="179"/>
      <c r="G49" s="164"/>
      <c r="H49" s="157"/>
      <c r="I49" s="156"/>
      <c r="J49" s="161"/>
      <c r="K49" s="159"/>
      <c r="L49" s="159"/>
      <c r="M49" s="159"/>
      <c r="N49" s="159"/>
      <c r="O49" s="159"/>
      <c r="P49" s="159"/>
      <c r="Q49" s="159"/>
      <c r="R49" s="159"/>
      <c r="S49" s="159"/>
      <c r="T49" s="159"/>
      <c r="U49" s="158"/>
      <c r="V49" s="160"/>
      <c r="W49" s="161"/>
      <c r="X49" s="161"/>
      <c r="Y49" s="161"/>
      <c r="Z49" s="162"/>
      <c r="AA49" s="121" t="e">
        <f>+#REF!-#REF!</f>
        <v>#REF!</v>
      </c>
      <c r="AB49" s="155">
        <v>0</v>
      </c>
    </row>
    <row r="50" spans="1:28" s="155" customFormat="1" ht="12.75" customHeight="1" x14ac:dyDescent="0.2">
      <c r="A50" s="162"/>
      <c r="B50" s="149"/>
      <c r="D50" s="149"/>
      <c r="E50" s="155" t="s">
        <v>93</v>
      </c>
      <c r="F50" s="179"/>
      <c r="G50" s="164"/>
      <c r="H50" s="187">
        <f>SUM(H51:H52)</f>
        <v>1241727.4439999999</v>
      </c>
      <c r="I50" s="131">
        <f t="shared" ref="I50:K50" si="16">SUM(I51:I52)</f>
        <v>121508.67478999999</v>
      </c>
      <c r="J50" s="161">
        <f t="shared" si="16"/>
        <v>84551.576229999991</v>
      </c>
      <c r="K50" s="159">
        <f t="shared" si="16"/>
        <v>46962.2958</v>
      </c>
      <c r="L50" s="187">
        <f>SUM(L51:L52)</f>
        <v>104872.55524</v>
      </c>
      <c r="M50" s="188">
        <f>SUM(M51:M52)</f>
        <v>151952.50563999999</v>
      </c>
      <c r="N50" s="188">
        <f>SUM(N51:N52)</f>
        <v>168070.07587</v>
      </c>
      <c r="O50" s="188">
        <v>0</v>
      </c>
      <c r="P50" s="188">
        <v>0</v>
      </c>
      <c r="Q50" s="188">
        <v>0</v>
      </c>
      <c r="R50" s="188">
        <v>0</v>
      </c>
      <c r="S50" s="188">
        <v>0</v>
      </c>
      <c r="T50" s="188">
        <v>0</v>
      </c>
      <c r="U50" s="189">
        <f t="shared" ref="U50" si="17">SUM(U51:U52)</f>
        <v>677917.68357000011</v>
      </c>
      <c r="V50" s="191"/>
      <c r="W50" s="190"/>
      <c r="X50" s="190"/>
      <c r="Y50" s="190"/>
      <c r="Z50" s="162">
        <f>H50-U50</f>
        <v>563809.76042999979</v>
      </c>
      <c r="AA50" s="121" t="e">
        <f>+#REF!-#REF!</f>
        <v>#REF!</v>
      </c>
      <c r="AB50" s="155">
        <v>0</v>
      </c>
    </row>
    <row r="51" spans="1:28" s="155" customFormat="1" ht="12.75" customHeight="1" x14ac:dyDescent="0.2">
      <c r="A51" s="162"/>
      <c r="B51" s="149"/>
      <c r="C51" s="149"/>
      <c r="D51" s="149"/>
      <c r="E51" s="192" t="s">
        <v>94</v>
      </c>
      <c r="F51" s="179"/>
      <c r="G51" s="164"/>
      <c r="H51" s="187">
        <v>1066687.8259999999</v>
      </c>
      <c r="I51" s="131">
        <v>111705.54444</v>
      </c>
      <c r="J51" s="190">
        <v>75853.334739999991</v>
      </c>
      <c r="K51" s="188">
        <v>34498.877</v>
      </c>
      <c r="L51" s="188">
        <v>81014.502160000004</v>
      </c>
      <c r="M51" s="188">
        <v>119220.27217</v>
      </c>
      <c r="N51" s="188">
        <v>137393.81875000001</v>
      </c>
      <c r="O51" s="188">
        <v>0</v>
      </c>
      <c r="P51" s="188">
        <v>0</v>
      </c>
      <c r="Q51" s="188">
        <v>0</v>
      </c>
      <c r="R51" s="188">
        <v>0</v>
      </c>
      <c r="S51" s="188">
        <v>0</v>
      </c>
      <c r="T51" s="188">
        <v>0</v>
      </c>
      <c r="U51" s="189">
        <f t="shared" ref="U51:U52" si="18">SUM(I51:T51)</f>
        <v>559686.34926000005</v>
      </c>
      <c r="V51" s="191"/>
      <c r="W51" s="190"/>
      <c r="X51" s="190"/>
      <c r="Y51" s="190"/>
      <c r="Z51" s="162"/>
      <c r="AA51" s="121" t="e">
        <f>+#REF!-#REF!</f>
        <v>#REF!</v>
      </c>
      <c r="AB51" s="155">
        <v>0</v>
      </c>
    </row>
    <row r="52" spans="1:28" s="155" customFormat="1" ht="12.75" customHeight="1" x14ac:dyDescent="0.2">
      <c r="A52" s="162"/>
      <c r="B52" s="149"/>
      <c r="C52" s="149"/>
      <c r="D52" s="149"/>
      <c r="E52" s="192" t="s">
        <v>95</v>
      </c>
      <c r="F52" s="179"/>
      <c r="G52" s="164"/>
      <c r="H52" s="193">
        <v>175039.61799999999</v>
      </c>
      <c r="I52" s="194">
        <v>9803.1303499999995</v>
      </c>
      <c r="J52" s="194">
        <v>8698.2414900000003</v>
      </c>
      <c r="K52" s="193">
        <v>12463.418800000001</v>
      </c>
      <c r="L52" s="193">
        <v>23858.053079999998</v>
      </c>
      <c r="M52" s="193">
        <v>32732.233469999999</v>
      </c>
      <c r="N52" s="193">
        <v>30676.257120000002</v>
      </c>
      <c r="O52" s="193">
        <v>0</v>
      </c>
      <c r="P52" s="193">
        <v>0</v>
      </c>
      <c r="Q52" s="193">
        <v>0</v>
      </c>
      <c r="R52" s="193">
        <v>0</v>
      </c>
      <c r="S52" s="193">
        <v>0</v>
      </c>
      <c r="T52" s="193">
        <v>0</v>
      </c>
      <c r="U52" s="195">
        <f t="shared" si="18"/>
        <v>118231.33431000001</v>
      </c>
      <c r="V52" s="191"/>
      <c r="W52" s="190"/>
      <c r="X52" s="190"/>
      <c r="Y52" s="190"/>
      <c r="Z52" s="162">
        <f>H52-U52</f>
        <v>56808.283689999982</v>
      </c>
      <c r="AA52" s="121" t="e">
        <f>+#REF!-#REF!</f>
        <v>#REF!</v>
      </c>
      <c r="AB52" s="155">
        <v>0</v>
      </c>
    </row>
    <row r="53" spans="1:28" ht="12.75" customHeight="1" x14ac:dyDescent="0.2">
      <c r="A53" s="129"/>
      <c r="B53" s="121"/>
      <c r="C53" s="702" t="s">
        <v>96</v>
      </c>
      <c r="D53" s="702"/>
      <c r="E53" s="702"/>
      <c r="F53" s="702"/>
      <c r="G53" s="703"/>
      <c r="H53" s="157"/>
      <c r="I53" s="156"/>
      <c r="J53" s="161"/>
      <c r="K53" s="159"/>
      <c r="L53" s="159"/>
      <c r="M53" s="159"/>
      <c r="N53" s="159"/>
      <c r="O53" s="159"/>
      <c r="P53" s="159"/>
      <c r="Q53" s="159"/>
      <c r="R53" s="159"/>
      <c r="S53" s="159"/>
      <c r="T53" s="159"/>
      <c r="U53" s="158"/>
      <c r="V53" s="160"/>
      <c r="W53" s="161"/>
      <c r="X53" s="161"/>
      <c r="Y53" s="161"/>
      <c r="Z53" s="162">
        <f>H53-U53</f>
        <v>0</v>
      </c>
      <c r="AA53" s="121" t="e">
        <f>+#REF!-#REF!</f>
        <v>#REF!</v>
      </c>
      <c r="AB53" s="155">
        <v>0</v>
      </c>
    </row>
    <row r="54" spans="1:28" ht="12.75" customHeight="1" x14ac:dyDescent="0.2">
      <c r="A54" s="129"/>
      <c r="B54" s="121"/>
      <c r="C54" s="121"/>
      <c r="D54" s="121"/>
      <c r="E54" s="173" t="s">
        <v>97</v>
      </c>
      <c r="F54" s="173"/>
      <c r="G54" s="164"/>
      <c r="H54" s="157">
        <v>206000.00099999999</v>
      </c>
      <c r="I54" s="156">
        <v>44499.3</v>
      </c>
      <c r="J54" s="161">
        <v>7339.5190000000002</v>
      </c>
      <c r="K54" s="159">
        <v>9838.8181100000002</v>
      </c>
      <c r="L54" s="159">
        <v>2593.24125</v>
      </c>
      <c r="M54" s="159">
        <v>2419.38679</v>
      </c>
      <c r="N54" s="159">
        <v>2911.0088799999999</v>
      </c>
      <c r="O54" s="159">
        <v>0</v>
      </c>
      <c r="P54" s="159">
        <v>0</v>
      </c>
      <c r="Q54" s="159">
        <v>0</v>
      </c>
      <c r="R54" s="159">
        <v>0</v>
      </c>
      <c r="S54" s="159">
        <v>0</v>
      </c>
      <c r="T54" s="159">
        <v>0</v>
      </c>
      <c r="U54" s="158">
        <f t="shared" ref="U54:U63" si="19">SUM(I54:T54)</f>
        <v>69601.27403</v>
      </c>
      <c r="V54" s="160"/>
      <c r="W54" s="161"/>
      <c r="X54" s="161"/>
      <c r="Y54" s="161"/>
      <c r="Z54" s="162">
        <f>H54-U54</f>
        <v>136398.72696999999</v>
      </c>
      <c r="AA54" s="121" t="e">
        <f>+#REF!-#REF!</f>
        <v>#REF!</v>
      </c>
      <c r="AB54" s="155">
        <v>-0.26537999999709427</v>
      </c>
    </row>
    <row r="55" spans="1:28" ht="12.75" customHeight="1" x14ac:dyDescent="0.2">
      <c r="A55" s="129"/>
      <c r="B55" s="121"/>
      <c r="C55" s="121"/>
      <c r="D55" s="121"/>
      <c r="E55" s="173" t="s">
        <v>98</v>
      </c>
      <c r="F55" s="173"/>
      <c r="G55" s="164"/>
      <c r="H55" s="181">
        <v>353340.50400000002</v>
      </c>
      <c r="I55" s="182">
        <v>2102.3136199999999</v>
      </c>
      <c r="J55" s="183">
        <v>4279.8074500000002</v>
      </c>
      <c r="K55" s="184">
        <v>105062.09069</v>
      </c>
      <c r="L55" s="184">
        <v>1330.6143999999999</v>
      </c>
      <c r="M55" s="184">
        <v>1374.28125</v>
      </c>
      <c r="N55" s="184">
        <v>140826.21997999999</v>
      </c>
      <c r="O55" s="184">
        <v>0</v>
      </c>
      <c r="P55" s="184">
        <v>0</v>
      </c>
      <c r="Q55" s="184">
        <v>0</v>
      </c>
      <c r="R55" s="184">
        <v>0</v>
      </c>
      <c r="S55" s="184">
        <v>0</v>
      </c>
      <c r="T55" s="184">
        <v>0</v>
      </c>
      <c r="U55" s="185">
        <f t="shared" si="19"/>
        <v>254975.32738999999</v>
      </c>
      <c r="V55" s="160"/>
      <c r="W55" s="161"/>
      <c r="X55" s="161"/>
      <c r="Y55" s="161"/>
      <c r="Z55" s="162">
        <f>H55-U55</f>
        <v>98365.176610000024</v>
      </c>
      <c r="AA55" s="121" t="e">
        <f>+#REF!-#REF!</f>
        <v>#REF!</v>
      </c>
      <c r="AB55" s="155">
        <v>6.6040000063367188E-2</v>
      </c>
    </row>
    <row r="56" spans="1:28" ht="12.75" customHeight="1" x14ac:dyDescent="0.2">
      <c r="A56" s="129"/>
      <c r="B56" s="121"/>
      <c r="C56" s="121"/>
      <c r="D56" s="121"/>
      <c r="E56" s="173" t="s">
        <v>99</v>
      </c>
      <c r="F56" s="173"/>
      <c r="G56" s="164"/>
      <c r="H56" s="181">
        <v>7139670.3810000001</v>
      </c>
      <c r="I56" s="182">
        <v>663677.81744000001</v>
      </c>
      <c r="J56" s="183">
        <v>516013.16327999998</v>
      </c>
      <c r="K56" s="184">
        <v>630236.35684000002</v>
      </c>
      <c r="L56" s="184">
        <v>680668.51142</v>
      </c>
      <c r="M56" s="184">
        <v>707817.28547</v>
      </c>
      <c r="N56" s="184">
        <v>681945.63951999997</v>
      </c>
      <c r="O56" s="184">
        <v>0</v>
      </c>
      <c r="P56" s="184">
        <v>0</v>
      </c>
      <c r="Q56" s="184">
        <v>0</v>
      </c>
      <c r="R56" s="184">
        <v>0</v>
      </c>
      <c r="S56" s="184">
        <v>0</v>
      </c>
      <c r="T56" s="184">
        <v>0</v>
      </c>
      <c r="U56" s="185">
        <f t="shared" si="19"/>
        <v>3880358.7739699995</v>
      </c>
      <c r="V56" s="160"/>
      <c r="W56" s="161"/>
      <c r="X56" s="161"/>
      <c r="Y56" s="161"/>
      <c r="Z56" s="162">
        <f>H56-U56</f>
        <v>3259311.6070300005</v>
      </c>
      <c r="AA56" s="121" t="e">
        <f>+#REF!-#REF!</f>
        <v>#REF!</v>
      </c>
      <c r="AB56" s="155">
        <v>-0.17494000121951103</v>
      </c>
    </row>
    <row r="57" spans="1:28" ht="12.75" customHeight="1" x14ac:dyDescent="0.2">
      <c r="A57" s="129"/>
      <c r="B57" s="121"/>
      <c r="C57" s="121"/>
      <c r="D57" s="121"/>
      <c r="E57" s="173" t="s">
        <v>100</v>
      </c>
      <c r="F57" s="173"/>
      <c r="G57" s="156"/>
      <c r="H57" s="181">
        <v>39540.084000000003</v>
      </c>
      <c r="I57" s="182">
        <v>4415.4679400000005</v>
      </c>
      <c r="J57" s="183">
        <v>4473.4460599999993</v>
      </c>
      <c r="K57" s="184">
        <v>904.2</v>
      </c>
      <c r="L57" s="184">
        <v>1248.08</v>
      </c>
      <c r="M57" s="184">
        <v>854.00599999999997</v>
      </c>
      <c r="N57" s="184">
        <v>1321.7719999999999</v>
      </c>
      <c r="O57" s="184">
        <v>0</v>
      </c>
      <c r="P57" s="184">
        <v>0</v>
      </c>
      <c r="Q57" s="184">
        <v>0</v>
      </c>
      <c r="R57" s="184">
        <v>0</v>
      </c>
      <c r="S57" s="184">
        <v>0</v>
      </c>
      <c r="T57" s="184">
        <v>0</v>
      </c>
      <c r="U57" s="185">
        <f t="shared" si="19"/>
        <v>13216.972000000002</v>
      </c>
      <c r="V57" s="160"/>
      <c r="W57" s="161"/>
      <c r="X57" s="161"/>
      <c r="Y57" s="161"/>
      <c r="Z57" s="162">
        <f>H57-U57</f>
        <v>26323.112000000001</v>
      </c>
      <c r="AA57" s="121" t="e">
        <f>+#REF!-#REF!</f>
        <v>#REF!</v>
      </c>
      <c r="AB57" s="155">
        <v>9.4299999997019768E-2</v>
      </c>
    </row>
    <row r="58" spans="1:28" ht="12.75" customHeight="1" x14ac:dyDescent="0.2">
      <c r="A58" s="129"/>
      <c r="B58" s="121"/>
      <c r="C58" s="121"/>
      <c r="D58" s="121"/>
      <c r="E58" s="708" t="s">
        <v>101</v>
      </c>
      <c r="F58" s="708"/>
      <c r="G58" s="156"/>
      <c r="H58" s="181">
        <v>1125619.122</v>
      </c>
      <c r="I58" s="182">
        <v>102172.43</v>
      </c>
      <c r="J58" s="183">
        <v>25403.27</v>
      </c>
      <c r="K58" s="184">
        <v>44642.238840000005</v>
      </c>
      <c r="L58" s="184">
        <v>110784.27191</v>
      </c>
      <c r="M58" s="184">
        <v>67305.844060000003</v>
      </c>
      <c r="N58" s="184">
        <v>89155.548139999999</v>
      </c>
      <c r="O58" s="184">
        <v>0</v>
      </c>
      <c r="P58" s="184">
        <v>0</v>
      </c>
      <c r="Q58" s="184">
        <v>0</v>
      </c>
      <c r="R58" s="184">
        <v>0</v>
      </c>
      <c r="S58" s="184">
        <v>0</v>
      </c>
      <c r="T58" s="184">
        <v>0</v>
      </c>
      <c r="U58" s="185">
        <f t="shared" si="19"/>
        <v>439463.60294999997</v>
      </c>
      <c r="V58" s="160"/>
      <c r="W58" s="161"/>
      <c r="X58" s="161"/>
      <c r="Y58" s="161"/>
      <c r="Z58" s="162">
        <f>H58-U58</f>
        <v>686155.51905</v>
      </c>
      <c r="AA58" s="121" t="e">
        <f>+#REF!-#REF!</f>
        <v>#REF!</v>
      </c>
      <c r="AB58" s="155">
        <v>1.5519999898970127E-2</v>
      </c>
    </row>
    <row r="59" spans="1:28" ht="12.75" customHeight="1" x14ac:dyDescent="0.2">
      <c r="A59" s="129"/>
      <c r="B59" s="121"/>
      <c r="C59" s="121"/>
      <c r="D59" s="121"/>
      <c r="E59" s="173" t="s">
        <v>102</v>
      </c>
      <c r="F59" s="121"/>
      <c r="G59" s="156"/>
      <c r="H59" s="181">
        <v>612245.90500000003</v>
      </c>
      <c r="I59" s="182">
        <v>62375.55186</v>
      </c>
      <c r="J59" s="183">
        <v>22795.161649999998</v>
      </c>
      <c r="K59" s="184">
        <v>25146.591039999999</v>
      </c>
      <c r="L59" s="184">
        <v>41291.678500000002</v>
      </c>
      <c r="M59" s="184">
        <v>33732.366000000002</v>
      </c>
      <c r="N59" s="184">
        <v>32719.31825</v>
      </c>
      <c r="O59" s="184">
        <v>0</v>
      </c>
      <c r="P59" s="184">
        <v>0</v>
      </c>
      <c r="Q59" s="184">
        <v>0</v>
      </c>
      <c r="R59" s="184">
        <v>0</v>
      </c>
      <c r="S59" s="184">
        <v>0</v>
      </c>
      <c r="T59" s="184">
        <v>0</v>
      </c>
      <c r="U59" s="185">
        <f t="shared" si="19"/>
        <v>218060.66730000003</v>
      </c>
      <c r="V59" s="160"/>
      <c r="W59" s="161"/>
      <c r="X59" s="161"/>
      <c r="Y59" s="161"/>
      <c r="Z59" s="162">
        <f>H59-U59</f>
        <v>394185.2377</v>
      </c>
      <c r="AA59" s="121" t="e">
        <f>+#REF!-#REF!</f>
        <v>#REF!</v>
      </c>
      <c r="AB59" s="155">
        <v>8.4269999992102385E-2</v>
      </c>
    </row>
    <row r="60" spans="1:28" ht="12.75" customHeight="1" x14ac:dyDescent="0.2">
      <c r="A60" s="129"/>
      <c r="B60" s="121"/>
      <c r="C60" s="121"/>
      <c r="D60" s="121"/>
      <c r="E60" s="173" t="s">
        <v>103</v>
      </c>
      <c r="F60" s="173"/>
      <c r="G60" s="156"/>
      <c r="H60" s="181">
        <v>2565.0360000000001</v>
      </c>
      <c r="I60" s="182">
        <v>0</v>
      </c>
      <c r="J60" s="183">
        <v>0</v>
      </c>
      <c r="K60" s="184">
        <v>0</v>
      </c>
      <c r="L60" s="184">
        <v>0</v>
      </c>
      <c r="M60" s="184">
        <v>2670.9127999999996</v>
      </c>
      <c r="N60" s="184">
        <v>0</v>
      </c>
      <c r="O60" s="184">
        <v>0</v>
      </c>
      <c r="P60" s="184">
        <v>0</v>
      </c>
      <c r="Q60" s="184">
        <v>0</v>
      </c>
      <c r="R60" s="184">
        <v>0</v>
      </c>
      <c r="S60" s="184">
        <v>0</v>
      </c>
      <c r="T60" s="184">
        <v>0</v>
      </c>
      <c r="U60" s="185">
        <f t="shared" si="19"/>
        <v>2670.9127999999996</v>
      </c>
      <c r="V60" s="160"/>
      <c r="W60" s="161"/>
      <c r="X60" s="161"/>
      <c r="Y60" s="161"/>
      <c r="Z60" s="162">
        <f>H60-U60</f>
        <v>-105.87679999999955</v>
      </c>
      <c r="AA60" s="121" t="e">
        <f>+#REF!-#REF!</f>
        <v>#REF!</v>
      </c>
      <c r="AB60" s="155">
        <v>0</v>
      </c>
    </row>
    <row r="61" spans="1:28" ht="12.75" customHeight="1" x14ac:dyDescent="0.2">
      <c r="A61" s="129"/>
      <c r="B61" s="121"/>
      <c r="C61" s="121"/>
      <c r="D61" s="121"/>
      <c r="E61" s="173" t="s">
        <v>104</v>
      </c>
      <c r="F61" s="173"/>
      <c r="G61" s="156"/>
      <c r="H61" s="181">
        <v>1750000</v>
      </c>
      <c r="I61" s="182">
        <v>0</v>
      </c>
      <c r="J61" s="183">
        <v>0</v>
      </c>
      <c r="K61" s="184">
        <v>0</v>
      </c>
      <c r="L61" s="184">
        <v>0</v>
      </c>
      <c r="M61" s="184">
        <v>0</v>
      </c>
      <c r="N61" s="184">
        <v>0</v>
      </c>
      <c r="O61" s="184"/>
      <c r="P61" s="184"/>
      <c r="Q61" s="184"/>
      <c r="R61" s="184"/>
      <c r="S61" s="184"/>
      <c r="T61" s="184"/>
      <c r="U61" s="185">
        <f t="shared" si="19"/>
        <v>0</v>
      </c>
      <c r="V61" s="160"/>
      <c r="W61" s="161"/>
      <c r="X61" s="161"/>
      <c r="Y61" s="161"/>
      <c r="Z61" s="162"/>
      <c r="AA61" s="121" t="e">
        <f>+#REF!-#REF!</f>
        <v>#REF!</v>
      </c>
      <c r="AB61" s="155"/>
    </row>
    <row r="62" spans="1:28" ht="12.75" customHeight="1" x14ac:dyDescent="0.2">
      <c r="A62" s="129"/>
      <c r="B62" s="121"/>
      <c r="C62" s="121" t="s">
        <v>60</v>
      </c>
      <c r="D62" s="121"/>
      <c r="E62" s="173"/>
      <c r="F62" s="173"/>
      <c r="G62" s="156"/>
      <c r="H62" s="157"/>
      <c r="I62" s="156"/>
      <c r="J62" s="161"/>
      <c r="K62" s="159"/>
      <c r="L62" s="159"/>
      <c r="M62" s="159"/>
      <c r="N62" s="184"/>
      <c r="O62" s="159"/>
      <c r="P62" s="159"/>
      <c r="Q62" s="159"/>
      <c r="R62" s="159"/>
      <c r="S62" s="159"/>
      <c r="T62" s="159"/>
      <c r="U62" s="158"/>
      <c r="V62" s="160"/>
      <c r="W62" s="161"/>
      <c r="X62" s="161"/>
      <c r="Y62" s="161"/>
      <c r="Z62" s="162">
        <f>H62-U62</f>
        <v>0</v>
      </c>
      <c r="AA62" s="121" t="e">
        <f>+#REF!-#REF!</f>
        <v>#REF!</v>
      </c>
      <c r="AB62" s="155">
        <v>0</v>
      </c>
    </row>
    <row r="63" spans="1:28" ht="12.75" customHeight="1" x14ac:dyDescent="0.2">
      <c r="A63" s="129"/>
      <c r="B63" s="121"/>
      <c r="C63" s="121"/>
      <c r="D63" s="121"/>
      <c r="E63" s="173" t="s">
        <v>105</v>
      </c>
      <c r="F63" s="173"/>
      <c r="G63" s="156"/>
      <c r="H63" s="157">
        <v>147754.72200000001</v>
      </c>
      <c r="I63" s="156">
        <v>0</v>
      </c>
      <c r="J63" s="161">
        <v>1568.3789400000001</v>
      </c>
      <c r="K63" s="159">
        <v>7.3316499999999998</v>
      </c>
      <c r="L63" s="159">
        <v>312.12212</v>
      </c>
      <c r="M63" s="159">
        <v>0</v>
      </c>
      <c r="N63" s="159">
        <v>64352.879580000001</v>
      </c>
      <c r="O63" s="159">
        <v>0</v>
      </c>
      <c r="P63" s="159">
        <v>0</v>
      </c>
      <c r="Q63" s="159">
        <v>0</v>
      </c>
      <c r="R63" s="159">
        <v>0</v>
      </c>
      <c r="S63" s="159">
        <v>0</v>
      </c>
      <c r="T63" s="159">
        <v>0</v>
      </c>
      <c r="U63" s="158">
        <f t="shared" si="19"/>
        <v>66240.712289999996</v>
      </c>
      <c r="V63" s="160"/>
      <c r="W63" s="161"/>
      <c r="X63" s="161"/>
      <c r="Y63" s="161"/>
      <c r="Z63" s="162">
        <f>H63-U63</f>
        <v>81514.009710000013</v>
      </c>
      <c r="AA63" s="121" t="e">
        <f>+#REF!-#REF!</f>
        <v>#REF!</v>
      </c>
      <c r="AB63" s="155">
        <v>0</v>
      </c>
    </row>
    <row r="64" spans="1:28" s="155" customFormat="1" ht="12.75" customHeight="1" x14ac:dyDescent="0.2">
      <c r="A64" s="154"/>
      <c r="B64" s="130" t="s">
        <v>106</v>
      </c>
      <c r="C64" s="148"/>
      <c r="D64" s="149"/>
      <c r="E64" s="163"/>
      <c r="F64" s="163"/>
      <c r="G64" s="164"/>
      <c r="H64" s="165">
        <f>SUM(H66:H71)</f>
        <v>46918567.792000003</v>
      </c>
      <c r="I64" s="165">
        <f t="shared" ref="I64:U64" si="20">SUM(I66:I71)</f>
        <v>1871615.1225500002</v>
      </c>
      <c r="J64" s="166">
        <f t="shared" si="20"/>
        <v>2320662.0403300002</v>
      </c>
      <c r="K64" s="167">
        <f t="shared" si="20"/>
        <v>2271074.6917500002</v>
      </c>
      <c r="L64" s="167">
        <f t="shared" si="20"/>
        <v>4144629.2502699997</v>
      </c>
      <c r="M64" s="167">
        <f t="shared" si="20"/>
        <v>3545310.6683600005</v>
      </c>
      <c r="N64" s="167">
        <f t="shared" si="20"/>
        <v>4679104.9118300006</v>
      </c>
      <c r="O64" s="167">
        <f t="shared" si="20"/>
        <v>0</v>
      </c>
      <c r="P64" s="167">
        <f t="shared" si="20"/>
        <v>0</v>
      </c>
      <c r="Q64" s="167">
        <f t="shared" si="20"/>
        <v>0</v>
      </c>
      <c r="R64" s="167">
        <f t="shared" si="20"/>
        <v>0</v>
      </c>
      <c r="S64" s="167">
        <f t="shared" si="20"/>
        <v>0</v>
      </c>
      <c r="T64" s="167">
        <f t="shared" si="20"/>
        <v>0</v>
      </c>
      <c r="U64" s="168">
        <f t="shared" si="20"/>
        <v>18832396.685090002</v>
      </c>
      <c r="V64" s="172"/>
      <c r="W64" s="166"/>
      <c r="X64" s="166"/>
      <c r="Y64" s="166"/>
      <c r="Z64" s="162"/>
      <c r="AA64" s="121" t="e">
        <f>+#REF!-#REF!</f>
        <v>#REF!</v>
      </c>
      <c r="AB64" s="155">
        <v>20.973050005733967</v>
      </c>
    </row>
    <row r="65" spans="1:28" s="155" customFormat="1" ht="12.75" customHeight="1" x14ac:dyDescent="0.2">
      <c r="A65" s="154"/>
      <c r="B65" s="130"/>
      <c r="C65" s="121" t="s">
        <v>107</v>
      </c>
      <c r="D65" s="149"/>
      <c r="E65" s="163"/>
      <c r="F65" s="163"/>
      <c r="G65" s="164"/>
      <c r="H65" s="157"/>
      <c r="I65" s="156"/>
      <c r="J65" s="161"/>
      <c r="K65" s="159"/>
      <c r="L65" s="159"/>
      <c r="M65" s="159"/>
      <c r="N65" s="159"/>
      <c r="O65" s="159"/>
      <c r="P65" s="159"/>
      <c r="Q65" s="159"/>
      <c r="R65" s="159"/>
      <c r="S65" s="159"/>
      <c r="T65" s="159"/>
      <c r="U65" s="158"/>
      <c r="V65" s="160"/>
      <c r="W65" s="161"/>
      <c r="X65" s="161"/>
      <c r="Y65" s="161"/>
      <c r="Z65" s="162"/>
      <c r="AA65" s="121" t="e">
        <f>+#REF!-#REF!</f>
        <v>#REF!</v>
      </c>
      <c r="AB65" s="155">
        <v>0</v>
      </c>
    </row>
    <row r="66" spans="1:28" s="155" customFormat="1" ht="12.75" customHeight="1" x14ac:dyDescent="0.2">
      <c r="A66" s="154"/>
      <c r="B66" s="121"/>
      <c r="C66" s="149"/>
      <c r="D66" s="149"/>
      <c r="E66" s="121" t="s">
        <v>108</v>
      </c>
      <c r="F66" s="173"/>
      <c r="G66" s="164"/>
      <c r="H66" s="157">
        <v>40732745.044</v>
      </c>
      <c r="I66" s="156">
        <v>1665132.71854</v>
      </c>
      <c r="J66" s="161">
        <v>2420101.5696100001</v>
      </c>
      <c r="K66" s="159">
        <v>2202305.6750099999</v>
      </c>
      <c r="L66" s="159">
        <v>3153901.05595</v>
      </c>
      <c r="M66" s="159">
        <v>3224111.7025500005</v>
      </c>
      <c r="N66" s="159">
        <v>3669787.9673300004</v>
      </c>
      <c r="O66" s="159">
        <v>0</v>
      </c>
      <c r="P66" s="159">
        <v>0</v>
      </c>
      <c r="Q66" s="159">
        <v>0</v>
      </c>
      <c r="R66" s="159">
        <v>0</v>
      </c>
      <c r="S66" s="159">
        <v>0</v>
      </c>
      <c r="T66" s="159">
        <v>0</v>
      </c>
      <c r="U66" s="158">
        <f t="shared" ref="U66:U68" si="21">SUM(I66:T66)</f>
        <v>16335340.688990004</v>
      </c>
      <c r="V66" s="160"/>
      <c r="W66" s="161"/>
      <c r="X66" s="161"/>
      <c r="Y66" s="161"/>
      <c r="Z66" s="162"/>
      <c r="AA66" s="121" t="e">
        <f>+#REF!-#REF!</f>
        <v>#REF!</v>
      </c>
      <c r="AB66" s="155">
        <v>20.904030002653599</v>
      </c>
    </row>
    <row r="67" spans="1:28" ht="12.75" customHeight="1" x14ac:dyDescent="0.2">
      <c r="A67" s="129"/>
      <c r="B67" s="121"/>
      <c r="C67" s="121"/>
      <c r="D67" s="121"/>
      <c r="E67" s="121" t="s">
        <v>109</v>
      </c>
      <c r="F67" s="173"/>
      <c r="G67" s="178"/>
      <c r="H67" s="181">
        <v>5100861.1100000003</v>
      </c>
      <c r="I67" s="182">
        <v>45206.048840000003</v>
      </c>
      <c r="J67" s="183">
        <v>17941.464689999997</v>
      </c>
      <c r="K67" s="184">
        <v>112788.36186000002</v>
      </c>
      <c r="L67" s="184">
        <v>389678.26277000003</v>
      </c>
      <c r="M67" s="184">
        <v>141351.30131000001</v>
      </c>
      <c r="N67" s="184">
        <v>670147.52271999989</v>
      </c>
      <c r="O67" s="184">
        <v>0</v>
      </c>
      <c r="P67" s="184">
        <v>0</v>
      </c>
      <c r="Q67" s="184">
        <v>0</v>
      </c>
      <c r="R67" s="184">
        <v>0</v>
      </c>
      <c r="S67" s="184">
        <v>0</v>
      </c>
      <c r="T67" s="184">
        <v>0</v>
      </c>
      <c r="U67" s="185">
        <f t="shared" si="21"/>
        <v>1377112.9621899999</v>
      </c>
      <c r="V67" s="160"/>
      <c r="W67" s="161"/>
      <c r="X67" s="161"/>
      <c r="Y67" s="161"/>
      <c r="Z67" s="162"/>
      <c r="AA67" s="121" t="e">
        <f>+#REF!-#REF!</f>
        <v>#REF!</v>
      </c>
      <c r="AB67" s="155">
        <v>-0.45797999948263168</v>
      </c>
    </row>
    <row r="68" spans="1:28" ht="12.75" customHeight="1" x14ac:dyDescent="0.2">
      <c r="A68" s="129"/>
      <c r="B68" s="121"/>
      <c r="C68" s="121" t="s">
        <v>110</v>
      </c>
      <c r="D68" s="121"/>
      <c r="E68" s="121"/>
      <c r="F68" s="121"/>
      <c r="G68" s="178"/>
      <c r="H68" s="181">
        <v>55133.794000000002</v>
      </c>
      <c r="I68" s="182">
        <v>2732.1754100000003</v>
      </c>
      <c r="J68" s="183">
        <v>6056.9970000000003</v>
      </c>
      <c r="K68" s="184">
        <v>6432.1417799999999</v>
      </c>
      <c r="L68" s="184">
        <v>4135.5707599999996</v>
      </c>
      <c r="M68" s="184">
        <v>3161.2752500000001</v>
      </c>
      <c r="N68" s="184">
        <v>3012.1276000000003</v>
      </c>
      <c r="O68" s="184">
        <v>0</v>
      </c>
      <c r="P68" s="184">
        <v>0</v>
      </c>
      <c r="Q68" s="184">
        <v>0</v>
      </c>
      <c r="R68" s="184">
        <v>0</v>
      </c>
      <c r="S68" s="184">
        <v>0</v>
      </c>
      <c r="T68" s="184">
        <v>0</v>
      </c>
      <c r="U68" s="185">
        <f t="shared" si="21"/>
        <v>25530.287799999998</v>
      </c>
      <c r="V68" s="160"/>
      <c r="W68" s="161"/>
      <c r="X68" s="161"/>
      <c r="Y68" s="161"/>
      <c r="Z68" s="162"/>
      <c r="AA68" s="121" t="e">
        <f>+#REF!-#REF!</f>
        <v>#REF!</v>
      </c>
      <c r="AB68" s="155">
        <v>5.5469999992055818E-2</v>
      </c>
    </row>
    <row r="69" spans="1:28" s="155" customFormat="1" ht="12.75" customHeight="1" x14ac:dyDescent="0.2">
      <c r="A69" s="154"/>
      <c r="B69" s="121"/>
      <c r="C69" s="121" t="s">
        <v>60</v>
      </c>
      <c r="D69" s="149"/>
      <c r="E69" s="121"/>
      <c r="F69" s="173"/>
      <c r="G69" s="164"/>
      <c r="H69" s="157"/>
      <c r="I69" s="156"/>
      <c r="J69" s="161"/>
      <c r="K69" s="159"/>
      <c r="L69" s="159"/>
      <c r="M69" s="159"/>
      <c r="N69" s="159"/>
      <c r="O69" s="159"/>
      <c r="P69" s="159"/>
      <c r="Q69" s="159"/>
      <c r="R69" s="159"/>
      <c r="S69" s="159"/>
      <c r="T69" s="159"/>
      <c r="U69" s="158"/>
      <c r="V69" s="160"/>
      <c r="W69" s="161"/>
      <c r="X69" s="161"/>
      <c r="Y69" s="161"/>
      <c r="Z69" s="162"/>
      <c r="AA69" s="121" t="e">
        <f>+#REF!-#REF!</f>
        <v>#REF!</v>
      </c>
      <c r="AB69" s="155">
        <v>0</v>
      </c>
    </row>
    <row r="70" spans="1:28" ht="12.75" customHeight="1" x14ac:dyDescent="0.2">
      <c r="A70" s="129"/>
      <c r="B70" s="121"/>
      <c r="C70" s="121"/>
      <c r="D70" s="121"/>
      <c r="E70" s="121" t="s">
        <v>111</v>
      </c>
      <c r="F70" s="121"/>
      <c r="G70" s="164"/>
      <c r="H70" s="157">
        <v>946012.89800000004</v>
      </c>
      <c r="I70" s="156">
        <v>154705.31579000002</v>
      </c>
      <c r="J70" s="161">
        <v>-123637.29246999999</v>
      </c>
      <c r="K70" s="159">
        <v>-50451.486900000004</v>
      </c>
      <c r="L70" s="159">
        <v>596914.36078999995</v>
      </c>
      <c r="M70" s="159">
        <v>176686.38924999998</v>
      </c>
      <c r="N70" s="159">
        <v>315157.10374999995</v>
      </c>
      <c r="O70" s="159">
        <v>0</v>
      </c>
      <c r="P70" s="159">
        <v>0</v>
      </c>
      <c r="Q70" s="159">
        <v>0</v>
      </c>
      <c r="R70" s="159">
        <v>0</v>
      </c>
      <c r="S70" s="159">
        <v>0</v>
      </c>
      <c r="T70" s="159">
        <v>0</v>
      </c>
      <c r="U70" s="158">
        <f t="shared" ref="U70:U71" si="22">SUM(I70:T70)</f>
        <v>1069374.3902099999</v>
      </c>
      <c r="V70" s="160"/>
      <c r="W70" s="161"/>
      <c r="X70" s="161"/>
      <c r="Y70" s="161"/>
      <c r="Z70" s="162"/>
      <c r="AA70" s="121" t="e">
        <f>+#REF!-#REF!</f>
        <v>#REF!</v>
      </c>
      <c r="AB70" s="155">
        <v>0.17573999986052513</v>
      </c>
    </row>
    <row r="71" spans="1:28" ht="12.75" customHeight="1" x14ac:dyDescent="0.2">
      <c r="A71" s="129"/>
      <c r="B71" s="121"/>
      <c r="C71" s="121"/>
      <c r="D71" s="121"/>
      <c r="E71" s="121" t="s">
        <v>112</v>
      </c>
      <c r="F71" s="173"/>
      <c r="G71" s="164"/>
      <c r="H71" s="181">
        <v>83814.945999999996</v>
      </c>
      <c r="I71" s="182">
        <v>3838.8639700000003</v>
      </c>
      <c r="J71" s="182">
        <v>199.3015</v>
      </c>
      <c r="K71" s="181">
        <v>0</v>
      </c>
      <c r="L71" s="181">
        <v>0</v>
      </c>
      <c r="M71" s="181">
        <v>0</v>
      </c>
      <c r="N71" s="181">
        <v>21000.190429999999</v>
      </c>
      <c r="O71" s="181">
        <v>0</v>
      </c>
      <c r="P71" s="181">
        <v>0</v>
      </c>
      <c r="Q71" s="181">
        <v>0</v>
      </c>
      <c r="R71" s="181">
        <v>0</v>
      </c>
      <c r="S71" s="181">
        <v>0</v>
      </c>
      <c r="T71" s="181">
        <v>0</v>
      </c>
      <c r="U71" s="185">
        <f t="shared" si="22"/>
        <v>25038.355899999999</v>
      </c>
      <c r="V71" s="160"/>
      <c r="W71" s="161"/>
      <c r="X71" s="161"/>
      <c r="Y71" s="161"/>
      <c r="Z71" s="162"/>
      <c r="AA71" s="121" t="e">
        <f>+#REF!-#REF!</f>
        <v>#REF!</v>
      </c>
      <c r="AB71" s="155">
        <v>0.29579000000376254</v>
      </c>
    </row>
    <row r="72" spans="1:28" s="155" customFormat="1" ht="12.75" customHeight="1" x14ac:dyDescent="0.2">
      <c r="A72" s="162"/>
      <c r="B72" s="130" t="s">
        <v>113</v>
      </c>
      <c r="C72" s="149"/>
      <c r="D72" s="149"/>
      <c r="E72" s="149"/>
      <c r="F72" s="149"/>
      <c r="G72" s="164"/>
      <c r="H72" s="165">
        <f>H73</f>
        <v>5.6429999999999998</v>
      </c>
      <c r="I72" s="165">
        <f>I73</f>
        <v>0</v>
      </c>
      <c r="J72" s="165">
        <f t="shared" ref="J72:T72" si="23">J73</f>
        <v>5.6426999999999996</v>
      </c>
      <c r="K72" s="175">
        <f t="shared" si="23"/>
        <v>-5.6426999999999996</v>
      </c>
      <c r="L72" s="175">
        <f t="shared" si="23"/>
        <v>6</v>
      </c>
      <c r="M72" s="175">
        <f t="shared" si="23"/>
        <v>0</v>
      </c>
      <c r="N72" s="175">
        <f t="shared" si="23"/>
        <v>0</v>
      </c>
      <c r="O72" s="175">
        <f t="shared" si="23"/>
        <v>0</v>
      </c>
      <c r="P72" s="175">
        <f t="shared" si="23"/>
        <v>0</v>
      </c>
      <c r="Q72" s="175">
        <f t="shared" si="23"/>
        <v>0</v>
      </c>
      <c r="R72" s="175">
        <f t="shared" si="23"/>
        <v>0</v>
      </c>
      <c r="S72" s="175">
        <f t="shared" si="23"/>
        <v>0</v>
      </c>
      <c r="T72" s="175">
        <f t="shared" si="23"/>
        <v>0</v>
      </c>
      <c r="U72" s="168">
        <f>U73</f>
        <v>6</v>
      </c>
      <c r="V72" s="172"/>
      <c r="W72" s="166"/>
      <c r="X72" s="166"/>
      <c r="Y72" s="166"/>
      <c r="Z72" s="162"/>
      <c r="AA72" s="121" t="e">
        <f>+#REF!-#REF!</f>
        <v>#REF!</v>
      </c>
      <c r="AB72" s="155">
        <v>0</v>
      </c>
    </row>
    <row r="73" spans="1:28" ht="12.75" customHeight="1" x14ac:dyDescent="0.2">
      <c r="A73" s="129"/>
      <c r="B73" s="121"/>
      <c r="C73" s="121" t="s">
        <v>114</v>
      </c>
      <c r="D73" s="121"/>
      <c r="E73" s="121"/>
      <c r="F73" s="121"/>
      <c r="G73" s="164"/>
      <c r="H73" s="157">
        <v>5.6429999999999998</v>
      </c>
      <c r="I73" s="156">
        <v>0</v>
      </c>
      <c r="J73" s="156">
        <v>5.6426999999999996</v>
      </c>
      <c r="K73" s="157">
        <v>-5.6426999999999996</v>
      </c>
      <c r="L73" s="157">
        <v>6</v>
      </c>
      <c r="M73" s="157">
        <v>0</v>
      </c>
      <c r="N73" s="181">
        <v>0</v>
      </c>
      <c r="O73" s="157">
        <v>0</v>
      </c>
      <c r="P73" s="157">
        <v>0</v>
      </c>
      <c r="Q73" s="157">
        <v>0</v>
      </c>
      <c r="R73" s="157">
        <v>0</v>
      </c>
      <c r="S73" s="157">
        <v>0</v>
      </c>
      <c r="T73" s="157">
        <v>0</v>
      </c>
      <c r="U73" s="158">
        <f t="shared" ref="U73:U74" si="24">SUM(I73:T73)</f>
        <v>6</v>
      </c>
      <c r="V73" s="196"/>
      <c r="W73" s="161"/>
      <c r="X73" s="161"/>
      <c r="Y73" s="161"/>
      <c r="Z73" s="162"/>
      <c r="AA73" s="121" t="e">
        <f>+#REF!-#REF!</f>
        <v>#REF!</v>
      </c>
      <c r="AB73" s="155">
        <v>0</v>
      </c>
    </row>
    <row r="74" spans="1:28" s="202" customFormat="1" ht="12.75" customHeight="1" x14ac:dyDescent="0.2">
      <c r="A74" s="197"/>
      <c r="B74" s="130" t="s">
        <v>115</v>
      </c>
      <c r="C74" s="130"/>
      <c r="D74" s="130"/>
      <c r="E74" s="130"/>
      <c r="F74" s="130"/>
      <c r="G74" s="164" t="s">
        <v>116</v>
      </c>
      <c r="H74" s="198">
        <v>3300.2170000000001</v>
      </c>
      <c r="I74" s="199">
        <v>1589.6722299999999</v>
      </c>
      <c r="J74" s="199">
        <v>1710.54529</v>
      </c>
      <c r="K74" s="198">
        <v>-1543.4717700000001</v>
      </c>
      <c r="L74" s="198">
        <f>433.43953-1757+1751</f>
        <v>427.4395300000001</v>
      </c>
      <c r="M74" s="198">
        <v>-404.95042000000001</v>
      </c>
      <c r="N74" s="198">
        <f>-164.26857+1779-1779</f>
        <v>-164.26856999999995</v>
      </c>
      <c r="O74" s="198">
        <v>0</v>
      </c>
      <c r="P74" s="198">
        <v>0</v>
      </c>
      <c r="Q74" s="198">
        <v>0</v>
      </c>
      <c r="R74" s="198">
        <v>0</v>
      </c>
      <c r="S74" s="198">
        <v>0</v>
      </c>
      <c r="T74" s="198">
        <v>0</v>
      </c>
      <c r="U74" s="200">
        <f t="shared" si="24"/>
        <v>1614.9662900000001</v>
      </c>
      <c r="V74" s="201"/>
      <c r="W74" s="166"/>
      <c r="X74" s="166"/>
      <c r="Y74" s="166"/>
      <c r="Z74" s="162"/>
      <c r="AA74" s="121" t="e">
        <f>+#REF!-#REF!</f>
        <v>#REF!</v>
      </c>
      <c r="AB74" s="155">
        <v>0.31281999999919208</v>
      </c>
    </row>
    <row r="75" spans="1:28" ht="12.75" customHeight="1" x14ac:dyDescent="0.2">
      <c r="A75" s="203"/>
      <c r="B75" s="204" t="s">
        <v>117</v>
      </c>
      <c r="C75" s="205"/>
      <c r="D75" s="205"/>
      <c r="E75" s="205"/>
      <c r="F75" s="205"/>
      <c r="G75" s="206"/>
      <c r="H75" s="175">
        <f>H6+H21+H23+H30+H64+H72+H74</f>
        <v>1121326744.598</v>
      </c>
      <c r="I75" s="165">
        <f t="shared" ref="I75:U75" si="25">I6+I21+I23+I30+I64+I72+I74</f>
        <v>77111257.806960002</v>
      </c>
      <c r="J75" s="165">
        <f t="shared" si="25"/>
        <v>64924271.966630012</v>
      </c>
      <c r="K75" s="175">
        <f t="shared" si="25"/>
        <v>100222433.75144002</v>
      </c>
      <c r="L75" s="175">
        <f t="shared" si="25"/>
        <v>75750002.477039993</v>
      </c>
      <c r="M75" s="175">
        <f t="shared" si="25"/>
        <v>97558042.679889992</v>
      </c>
      <c r="N75" s="175">
        <f t="shared" si="25"/>
        <v>102987034.87321997</v>
      </c>
      <c r="O75" s="175">
        <f t="shared" si="25"/>
        <v>0</v>
      </c>
      <c r="P75" s="175">
        <f t="shared" si="25"/>
        <v>0</v>
      </c>
      <c r="Q75" s="175">
        <f t="shared" si="25"/>
        <v>0</v>
      </c>
      <c r="R75" s="175">
        <f t="shared" si="25"/>
        <v>0</v>
      </c>
      <c r="S75" s="175">
        <f t="shared" si="25"/>
        <v>0</v>
      </c>
      <c r="T75" s="175">
        <f t="shared" si="25"/>
        <v>0</v>
      </c>
      <c r="U75" s="168">
        <f t="shared" si="25"/>
        <v>518553043.55517989</v>
      </c>
      <c r="V75" s="201"/>
      <c r="W75" s="166"/>
      <c r="X75" s="166"/>
      <c r="Y75" s="166"/>
      <c r="Z75" s="162"/>
      <c r="AA75" s="121" t="e">
        <f>+#REF!-#REF!</f>
        <v>#REF!</v>
      </c>
      <c r="AB75" s="155">
        <v>19.140980005264282</v>
      </c>
    </row>
    <row r="76" spans="1:28" ht="12.75" customHeight="1" x14ac:dyDescent="0.2">
      <c r="A76" s="129"/>
      <c r="B76" s="130" t="s">
        <v>118</v>
      </c>
      <c r="C76" s="121"/>
      <c r="D76" s="121"/>
      <c r="E76" s="173"/>
      <c r="F76" s="173"/>
      <c r="G76" s="164" t="s">
        <v>119</v>
      </c>
      <c r="H76" s="207">
        <v>-63395241</v>
      </c>
      <c r="I76" s="140">
        <v>-15848810</v>
      </c>
      <c r="J76" s="140">
        <v>0</v>
      </c>
      <c r="K76" s="207">
        <v>0</v>
      </c>
      <c r="L76" s="207">
        <v>-15848810</v>
      </c>
      <c r="M76" s="207">
        <v>0</v>
      </c>
      <c r="N76" s="207">
        <v>0</v>
      </c>
      <c r="O76" s="207">
        <v>0</v>
      </c>
      <c r="P76" s="207">
        <v>0</v>
      </c>
      <c r="Q76" s="207">
        <v>0</v>
      </c>
      <c r="R76" s="207">
        <v>0</v>
      </c>
      <c r="S76" s="207">
        <v>0</v>
      </c>
      <c r="T76" s="207">
        <v>0</v>
      </c>
      <c r="U76" s="146">
        <f t="shared" ref="U76" si="26">SUM(I76:T76)</f>
        <v>-31697620</v>
      </c>
      <c r="V76" s="136"/>
      <c r="W76" s="137"/>
      <c r="X76" s="137"/>
      <c r="Y76" s="137"/>
      <c r="Z76" s="162"/>
      <c r="AA76" s="121" t="e">
        <f>+#REF!-#REF!</f>
        <v>#REF!</v>
      </c>
      <c r="AB76" s="155">
        <v>0</v>
      </c>
    </row>
    <row r="77" spans="1:28" ht="12.75" customHeight="1" x14ac:dyDescent="0.2">
      <c r="A77" s="209"/>
      <c r="B77" s="210" t="s">
        <v>120</v>
      </c>
      <c r="C77" s="211"/>
      <c r="D77" s="211"/>
      <c r="E77" s="212"/>
      <c r="F77" s="212"/>
      <c r="G77" s="213"/>
      <c r="H77" s="214">
        <f>H75+H76</f>
        <v>1057931503.598</v>
      </c>
      <c r="I77" s="215">
        <f>I75+I76</f>
        <v>61262447.806960002</v>
      </c>
      <c r="J77" s="215">
        <f t="shared" ref="J77:T77" si="27">J75+J76</f>
        <v>64924271.966630012</v>
      </c>
      <c r="K77" s="214">
        <f t="shared" si="27"/>
        <v>100222433.75144002</v>
      </c>
      <c r="L77" s="214">
        <f t="shared" si="27"/>
        <v>59901192.477039993</v>
      </c>
      <c r="M77" s="214">
        <f t="shared" si="27"/>
        <v>97558042.679889992</v>
      </c>
      <c r="N77" s="214">
        <f t="shared" si="27"/>
        <v>102987034.87321997</v>
      </c>
      <c r="O77" s="214">
        <f t="shared" si="27"/>
        <v>0</v>
      </c>
      <c r="P77" s="214">
        <f t="shared" si="27"/>
        <v>0</v>
      </c>
      <c r="Q77" s="214">
        <f t="shared" si="27"/>
        <v>0</v>
      </c>
      <c r="R77" s="214">
        <f t="shared" si="27"/>
        <v>0</v>
      </c>
      <c r="S77" s="214">
        <f t="shared" si="27"/>
        <v>0</v>
      </c>
      <c r="T77" s="214">
        <f t="shared" si="27"/>
        <v>0</v>
      </c>
      <c r="U77" s="216">
        <f>U75+U76</f>
        <v>486855423.55517989</v>
      </c>
      <c r="V77" s="172"/>
      <c r="W77" s="166"/>
      <c r="X77" s="166"/>
      <c r="Y77" s="166"/>
      <c r="Z77" s="162"/>
      <c r="AA77" s="121" t="e">
        <f>+#REF!-#REF!</f>
        <v>#REF!</v>
      </c>
      <c r="AB77" s="149">
        <v>19.140980005264282</v>
      </c>
    </row>
    <row r="78" spans="1:28" ht="12.75" hidden="1" customHeight="1" x14ac:dyDescent="0.2">
      <c r="A78" s="129"/>
      <c r="B78" s="130"/>
      <c r="C78" s="121"/>
      <c r="D78" s="121"/>
      <c r="E78" s="173"/>
      <c r="F78" s="173"/>
      <c r="G78" s="164"/>
      <c r="H78" s="175"/>
      <c r="I78" s="165"/>
      <c r="J78" s="165"/>
      <c r="K78" s="175"/>
      <c r="L78" s="175"/>
      <c r="M78" s="175"/>
      <c r="N78" s="175"/>
      <c r="O78" s="175"/>
      <c r="P78" s="175"/>
      <c r="Q78" s="175"/>
      <c r="R78" s="175"/>
      <c r="S78" s="175"/>
      <c r="T78" s="175"/>
      <c r="U78" s="168"/>
      <c r="V78" s="172"/>
      <c r="W78" s="166"/>
      <c r="X78" s="166"/>
      <c r="Y78" s="166"/>
      <c r="Z78" s="162"/>
      <c r="AA78" s="121" t="e">
        <f>+#REF!-#REF!</f>
        <v>#REF!</v>
      </c>
      <c r="AB78" s="149">
        <v>0</v>
      </c>
    </row>
    <row r="79" spans="1:28" s="121" customFormat="1" ht="12.75" hidden="1" customHeight="1" x14ac:dyDescent="0.2">
      <c r="A79" s="217"/>
      <c r="B79" s="123"/>
      <c r="C79" s="123"/>
      <c r="D79" s="123"/>
      <c r="E79" s="123"/>
      <c r="F79" s="123"/>
      <c r="G79" s="218"/>
      <c r="H79" s="182"/>
      <c r="I79" s="182"/>
      <c r="J79" s="183"/>
      <c r="K79" s="183"/>
      <c r="L79" s="183"/>
      <c r="M79" s="183"/>
      <c r="N79" s="183"/>
      <c r="O79" s="183"/>
      <c r="P79" s="183"/>
      <c r="Q79" s="183"/>
      <c r="R79" s="183"/>
      <c r="S79" s="183"/>
      <c r="T79" s="183"/>
      <c r="U79" s="219"/>
      <c r="V79" s="220"/>
      <c r="W79" s="183"/>
      <c r="X79" s="183"/>
      <c r="Y79" s="183"/>
      <c r="Z79" s="162"/>
      <c r="AA79" s="121" t="e">
        <f>+#REF!-#REF!</f>
        <v>#REF!</v>
      </c>
      <c r="AB79" s="149">
        <v>0</v>
      </c>
    </row>
    <row r="80" spans="1:28" ht="12.75" customHeight="1" x14ac:dyDescent="0.2">
      <c r="A80" s="129"/>
      <c r="B80" s="130" t="s">
        <v>121</v>
      </c>
      <c r="C80" s="130"/>
      <c r="D80" s="121"/>
      <c r="E80" s="173"/>
      <c r="F80" s="173"/>
      <c r="G80" s="164"/>
      <c r="H80" s="135">
        <f>SUM(H81:H96)-H94+417402</f>
        <v>41582142.954258509</v>
      </c>
      <c r="I80" s="133">
        <f>SUM(I81:I96)-I94</f>
        <v>1833292.57381</v>
      </c>
      <c r="J80" s="133">
        <f t="shared" ref="J80:T80" si="28">SUM(J81:J96)-J94</f>
        <v>3182174.0558000002</v>
      </c>
      <c r="K80" s="135">
        <f t="shared" si="28"/>
        <v>8331667.6252000006</v>
      </c>
      <c r="L80" s="135">
        <f t="shared" si="28"/>
        <v>2945120.4831299996</v>
      </c>
      <c r="M80" s="135">
        <f>SUM(M81:M96)-M94</f>
        <v>4297105.98661</v>
      </c>
      <c r="N80" s="135">
        <f t="shared" si="28"/>
        <v>2692220.3989499998</v>
      </c>
      <c r="O80" s="135">
        <f t="shared" si="28"/>
        <v>0</v>
      </c>
      <c r="P80" s="135">
        <f t="shared" si="28"/>
        <v>0</v>
      </c>
      <c r="Q80" s="135">
        <f t="shared" si="28"/>
        <v>0</v>
      </c>
      <c r="R80" s="135">
        <f t="shared" si="28"/>
        <v>0</v>
      </c>
      <c r="S80" s="135">
        <f t="shared" si="28"/>
        <v>0</v>
      </c>
      <c r="T80" s="135">
        <f t="shared" si="28"/>
        <v>0</v>
      </c>
      <c r="U80" s="134">
        <f t="shared" ref="U80" si="29">SUM(U81:U96)-U94</f>
        <v>23281581.123500001</v>
      </c>
      <c r="V80" s="136"/>
      <c r="W80" s="137"/>
      <c r="X80" s="137"/>
      <c r="Y80" s="137"/>
      <c r="Z80" s="162"/>
      <c r="AA80" s="121" t="e">
        <f>+#REF!-#REF!</f>
        <v>#REF!</v>
      </c>
      <c r="AB80" s="149">
        <v>3038734.6602100059</v>
      </c>
    </row>
    <row r="81" spans="1:34" ht="12.75" customHeight="1" x14ac:dyDescent="0.2">
      <c r="A81" s="129"/>
      <c r="B81" s="121"/>
      <c r="C81" s="710" t="s">
        <v>122</v>
      </c>
      <c r="D81" s="710"/>
      <c r="E81" s="710"/>
      <c r="F81" s="710"/>
      <c r="G81" s="164"/>
      <c r="H81" s="157"/>
      <c r="I81" s="156"/>
      <c r="J81" s="156"/>
      <c r="K81" s="157"/>
      <c r="L81" s="157"/>
      <c r="M81" s="157"/>
      <c r="N81" s="157"/>
      <c r="O81" s="157"/>
      <c r="P81" s="157"/>
      <c r="Q81" s="157"/>
      <c r="R81" s="157"/>
      <c r="S81" s="157"/>
      <c r="T81" s="157"/>
      <c r="U81" s="158"/>
      <c r="V81" s="160"/>
      <c r="W81" s="161"/>
      <c r="X81" s="161"/>
      <c r="Y81" s="161"/>
      <c r="Z81" s="162"/>
      <c r="AA81" s="121" t="e">
        <f>+#REF!-#REF!</f>
        <v>#REF!</v>
      </c>
      <c r="AB81" s="155">
        <v>0</v>
      </c>
    </row>
    <row r="82" spans="1:34" ht="12.75" customHeight="1" x14ac:dyDescent="0.2">
      <c r="A82" s="129"/>
      <c r="B82" s="121"/>
      <c r="C82" s="121"/>
      <c r="D82" s="121"/>
      <c r="E82" s="121" t="s">
        <v>123</v>
      </c>
      <c r="F82" s="173"/>
      <c r="G82" s="164"/>
      <c r="H82" s="157">
        <v>68487</v>
      </c>
      <c r="I82" s="178">
        <v>4157.72876</v>
      </c>
      <c r="J82" s="156">
        <f>4130.86299+21.1859999999997</f>
        <v>4152.0489899999993</v>
      </c>
      <c r="K82" s="156">
        <v>4395.3252899999989</v>
      </c>
      <c r="L82" s="156">
        <v>4188.9931699999997</v>
      </c>
      <c r="M82" s="156">
        <v>4202.1022400000002</v>
      </c>
      <c r="N82" s="156">
        <v>4417.0128500000001</v>
      </c>
      <c r="O82" s="156">
        <v>0</v>
      </c>
      <c r="P82" s="156">
        <v>0</v>
      </c>
      <c r="Q82" s="156">
        <v>0</v>
      </c>
      <c r="R82" s="156">
        <v>0</v>
      </c>
      <c r="S82" s="156">
        <v>0</v>
      </c>
      <c r="T82" s="156">
        <v>0</v>
      </c>
      <c r="U82" s="221">
        <f t="shared" ref="U82:U88" si="30">SUM(I82:T82)</f>
        <v>25513.211299999995</v>
      </c>
      <c r="V82" s="160"/>
      <c r="W82" s="161"/>
      <c r="X82" s="161"/>
      <c r="Y82" s="161"/>
      <c r="Z82" s="162"/>
      <c r="AA82" s="121" t="e">
        <f>+#REF!-#REF!</f>
        <v>#REF!</v>
      </c>
      <c r="AB82" s="155">
        <v>6495.505250000002</v>
      </c>
    </row>
    <row r="83" spans="1:34" ht="12.75" customHeight="1" x14ac:dyDescent="0.2">
      <c r="A83" s="129"/>
      <c r="B83" s="130"/>
      <c r="E83" s="222" t="s">
        <v>124</v>
      </c>
      <c r="F83" s="173"/>
      <c r="G83" s="164"/>
      <c r="H83" s="157">
        <v>5600.0000000000009</v>
      </c>
      <c r="I83" s="156">
        <v>0</v>
      </c>
      <c r="J83" s="156">
        <v>0</v>
      </c>
      <c r="K83" s="156">
        <v>415</v>
      </c>
      <c r="L83" s="157">
        <v>107</v>
      </c>
      <c r="M83" s="157">
        <v>574</v>
      </c>
      <c r="N83" s="157">
        <v>57</v>
      </c>
      <c r="O83" s="157">
        <v>0</v>
      </c>
      <c r="P83" s="157">
        <v>0</v>
      </c>
      <c r="Q83" s="157">
        <v>0</v>
      </c>
      <c r="R83" s="157">
        <v>0</v>
      </c>
      <c r="S83" s="157">
        <v>0</v>
      </c>
      <c r="T83" s="157">
        <v>0</v>
      </c>
      <c r="U83" s="158">
        <f t="shared" si="30"/>
        <v>1153</v>
      </c>
      <c r="V83" s="160"/>
      <c r="W83" s="161"/>
      <c r="X83" s="161"/>
      <c r="Y83" s="161"/>
      <c r="Z83" s="162"/>
      <c r="AA83" s="121" t="e">
        <f>+#REF!-#REF!</f>
        <v>#REF!</v>
      </c>
      <c r="AB83" s="149">
        <v>-1.375</v>
      </c>
    </row>
    <row r="84" spans="1:34" ht="12.75" customHeight="1" x14ac:dyDescent="0.2">
      <c r="A84" s="129"/>
      <c r="B84" s="121"/>
      <c r="C84" s="121"/>
      <c r="D84" s="121"/>
      <c r="E84" s="121" t="s">
        <v>125</v>
      </c>
      <c r="F84" s="121"/>
      <c r="G84" s="131"/>
      <c r="H84" s="157">
        <v>1466374</v>
      </c>
      <c r="I84" s="178">
        <v>5135.0639899999996</v>
      </c>
      <c r="J84" s="156">
        <v>16394.861830000002</v>
      </c>
      <c r="K84" s="156">
        <v>18251.204130000002</v>
      </c>
      <c r="L84" s="156">
        <v>13622.154170000002</v>
      </c>
      <c r="M84" s="156">
        <v>31909.072619999999</v>
      </c>
      <c r="N84" s="156">
        <v>43736.20551</v>
      </c>
      <c r="O84" s="156">
        <v>0</v>
      </c>
      <c r="P84" s="156">
        <v>0</v>
      </c>
      <c r="Q84" s="156">
        <v>0</v>
      </c>
      <c r="R84" s="156">
        <v>0</v>
      </c>
      <c r="S84" s="156">
        <v>0</v>
      </c>
      <c r="T84" s="156">
        <v>0</v>
      </c>
      <c r="U84" s="221">
        <f t="shared" si="30"/>
        <v>129048.56225</v>
      </c>
      <c r="V84" s="160"/>
      <c r="W84" s="161"/>
      <c r="X84" s="161"/>
      <c r="Y84" s="161"/>
      <c r="Z84" s="162"/>
      <c r="AA84" s="121" t="e">
        <f>+#REF!-#REF!</f>
        <v>#REF!</v>
      </c>
      <c r="AB84" s="155">
        <v>1105391.5692700001</v>
      </c>
    </row>
    <row r="85" spans="1:34" ht="12.75" customHeight="1" x14ac:dyDescent="0.2">
      <c r="A85" s="129"/>
      <c r="B85" s="130"/>
      <c r="C85" s="121"/>
      <c r="D85" s="121"/>
      <c r="E85" s="121" t="s">
        <v>126</v>
      </c>
      <c r="F85" s="121"/>
      <c r="G85" s="131"/>
      <c r="H85" s="157">
        <v>864439.00000000023</v>
      </c>
      <c r="I85" s="178">
        <v>53854.645389999998</v>
      </c>
      <c r="J85" s="156">
        <f>60911.93396+50.1281600000148</f>
        <v>60962.062120000017</v>
      </c>
      <c r="K85" s="156">
        <v>73813.136580000049</v>
      </c>
      <c r="L85" s="156">
        <v>69584.14582000002</v>
      </c>
      <c r="M85" s="156">
        <v>97711.810700000002</v>
      </c>
      <c r="N85" s="156">
        <v>74635.367310000016</v>
      </c>
      <c r="O85" s="156">
        <v>0</v>
      </c>
      <c r="P85" s="156">
        <v>0</v>
      </c>
      <c r="Q85" s="156">
        <v>0</v>
      </c>
      <c r="R85" s="156">
        <v>0</v>
      </c>
      <c r="S85" s="156">
        <v>0</v>
      </c>
      <c r="T85" s="156">
        <v>0</v>
      </c>
      <c r="U85" s="221">
        <f t="shared" si="30"/>
        <v>430561.16792000004</v>
      </c>
      <c r="V85" s="160"/>
      <c r="W85" s="161"/>
      <c r="X85" s="161"/>
      <c r="Y85" s="161"/>
      <c r="Z85" s="162"/>
      <c r="AA85" s="121" t="e">
        <f>+#REF!-#REF!</f>
        <v>#REF!</v>
      </c>
      <c r="AB85" s="155">
        <v>-38344.857600000105</v>
      </c>
    </row>
    <row r="86" spans="1:34" ht="12.75" customHeight="1" x14ac:dyDescent="0.2">
      <c r="A86" s="129"/>
      <c r="B86" s="121"/>
      <c r="C86" s="121"/>
      <c r="D86" s="121"/>
      <c r="E86" s="708" t="s">
        <v>127</v>
      </c>
      <c r="F86" s="708"/>
      <c r="G86" s="709"/>
      <c r="H86" s="157">
        <v>10648.000000000002</v>
      </c>
      <c r="I86" s="178">
        <v>158.95270000000002</v>
      </c>
      <c r="J86" s="156">
        <v>317.98962000000006</v>
      </c>
      <c r="K86" s="156">
        <v>376.63499999999999</v>
      </c>
      <c r="L86" s="157">
        <v>613.54687000000001</v>
      </c>
      <c r="M86" s="156">
        <v>490.34724999999997</v>
      </c>
      <c r="N86" s="156">
        <v>305.85806999999994</v>
      </c>
      <c r="O86" s="156">
        <v>0</v>
      </c>
      <c r="P86" s="156">
        <v>0</v>
      </c>
      <c r="Q86" s="156">
        <v>0</v>
      </c>
      <c r="R86" s="156">
        <v>0</v>
      </c>
      <c r="S86" s="156">
        <v>0</v>
      </c>
      <c r="T86" s="156">
        <v>0</v>
      </c>
      <c r="U86" s="221">
        <f t="shared" si="30"/>
        <v>2263.32951</v>
      </c>
      <c r="V86" s="160"/>
      <c r="W86" s="161"/>
      <c r="X86" s="161"/>
      <c r="Y86" s="161"/>
      <c r="Z86" s="162"/>
      <c r="AA86" s="121" t="e">
        <f>+#REF!-#REF!</f>
        <v>#REF!</v>
      </c>
      <c r="AB86" s="155">
        <v>199.14303000000291</v>
      </c>
    </row>
    <row r="87" spans="1:34" s="202" customFormat="1" ht="12.75" customHeight="1" x14ac:dyDescent="0.2">
      <c r="A87" s="197"/>
      <c r="B87" s="130"/>
      <c r="C87" s="130" t="s">
        <v>128</v>
      </c>
      <c r="D87" s="130"/>
      <c r="E87" s="130"/>
      <c r="F87" s="177"/>
      <c r="G87" s="223"/>
      <c r="H87" s="175">
        <v>667339</v>
      </c>
      <c r="I87" s="224">
        <v>0</v>
      </c>
      <c r="J87" s="224">
        <v>43672.644369999995</v>
      </c>
      <c r="K87" s="224">
        <v>0</v>
      </c>
      <c r="L87" s="224">
        <v>73683.913189999992</v>
      </c>
      <c r="M87" s="224">
        <v>0</v>
      </c>
      <c r="N87" s="224">
        <v>0</v>
      </c>
      <c r="O87" s="224">
        <v>0</v>
      </c>
      <c r="P87" s="224">
        <v>0</v>
      </c>
      <c r="Q87" s="224">
        <v>0</v>
      </c>
      <c r="R87" s="224">
        <v>0</v>
      </c>
      <c r="S87" s="165">
        <v>0</v>
      </c>
      <c r="T87" s="165">
        <v>0</v>
      </c>
      <c r="U87" s="176">
        <f t="shared" si="30"/>
        <v>117356.55755999999</v>
      </c>
      <c r="V87" s="136"/>
      <c r="W87" s="137"/>
      <c r="X87" s="137"/>
      <c r="Y87" s="137"/>
      <c r="Z87" s="154"/>
      <c r="AA87" s="121" t="e">
        <f>+#REF!-#REF!</f>
        <v>#REF!</v>
      </c>
      <c r="AB87" s="226">
        <v>89534.033969999989</v>
      </c>
    </row>
    <row r="88" spans="1:34" s="202" customFormat="1" ht="12.75" customHeight="1" x14ac:dyDescent="0.2">
      <c r="A88" s="197"/>
      <c r="B88" s="130"/>
      <c r="C88" s="130" t="s">
        <v>129</v>
      </c>
      <c r="D88" s="130"/>
      <c r="E88" s="130"/>
      <c r="F88" s="130"/>
      <c r="G88" s="227"/>
      <c r="H88" s="171">
        <v>1477768</v>
      </c>
      <c r="I88" s="169">
        <v>3631.05654</v>
      </c>
      <c r="J88" s="169">
        <v>15649.83107</v>
      </c>
      <c r="K88" s="169">
        <v>11308.06079</v>
      </c>
      <c r="L88" s="169">
        <v>19243.870549999996</v>
      </c>
      <c r="M88" s="169">
        <v>45164.593119999998</v>
      </c>
      <c r="N88" s="169">
        <v>22755.888919999998</v>
      </c>
      <c r="O88" s="169">
        <v>0</v>
      </c>
      <c r="P88" s="169">
        <v>0</v>
      </c>
      <c r="Q88" s="169">
        <v>0</v>
      </c>
      <c r="R88" s="169">
        <v>0</v>
      </c>
      <c r="S88" s="169">
        <v>0</v>
      </c>
      <c r="T88" s="169">
        <v>0</v>
      </c>
      <c r="U88" s="176">
        <f t="shared" si="30"/>
        <v>117753.30098999999</v>
      </c>
      <c r="V88" s="136"/>
      <c r="W88" s="137"/>
      <c r="X88" s="137"/>
      <c r="Y88" s="137"/>
      <c r="Z88" s="154"/>
      <c r="AA88" s="121" t="e">
        <f>+#REF!-#REF!</f>
        <v>#REF!</v>
      </c>
      <c r="AB88" s="226">
        <v>513621.87241999991</v>
      </c>
    </row>
    <row r="89" spans="1:34" s="202" customFormat="1" ht="12.75" customHeight="1" x14ac:dyDescent="0.2">
      <c r="A89" s="197"/>
      <c r="B89" s="130"/>
      <c r="C89" s="130" t="s">
        <v>130</v>
      </c>
      <c r="D89" s="130"/>
      <c r="E89" s="177"/>
      <c r="F89" s="177"/>
      <c r="G89" s="223"/>
      <c r="H89" s="175"/>
      <c r="I89" s="224"/>
      <c r="J89" s="165"/>
      <c r="K89" s="165"/>
      <c r="L89" s="165"/>
      <c r="M89" s="165"/>
      <c r="N89" s="165"/>
      <c r="O89" s="165"/>
      <c r="P89" s="165"/>
      <c r="Q89" s="165"/>
      <c r="R89" s="165"/>
      <c r="S89" s="165"/>
      <c r="T89" s="165"/>
      <c r="U89" s="221"/>
      <c r="V89" s="136"/>
      <c r="W89" s="137"/>
      <c r="X89" s="137"/>
      <c r="Y89" s="137"/>
      <c r="Z89" s="154"/>
      <c r="AA89" s="121" t="e">
        <f>+#REF!-#REF!</f>
        <v>#REF!</v>
      </c>
      <c r="AB89" s="226">
        <v>0</v>
      </c>
    </row>
    <row r="90" spans="1:34" ht="12.75" customHeight="1" x14ac:dyDescent="0.2">
      <c r="A90" s="129"/>
      <c r="B90" s="121"/>
      <c r="C90" s="121"/>
      <c r="D90" s="121"/>
      <c r="E90" s="173" t="s">
        <v>131</v>
      </c>
      <c r="F90" s="173"/>
      <c r="G90" s="164"/>
      <c r="H90" s="181">
        <v>4614321</v>
      </c>
      <c r="I90" s="178">
        <v>482155.24502999999</v>
      </c>
      <c r="J90" s="178">
        <f>202472.47722+12.445689999964</f>
        <v>202484.92290999996</v>
      </c>
      <c r="K90" s="178">
        <v>199409.31185</v>
      </c>
      <c r="L90" s="178">
        <v>129830.99192</v>
      </c>
      <c r="M90" s="178">
        <v>317057.09378999996</v>
      </c>
      <c r="N90" s="178">
        <v>234314.62327000001</v>
      </c>
      <c r="O90" s="178">
        <v>0</v>
      </c>
      <c r="P90" s="178">
        <v>0</v>
      </c>
      <c r="Q90" s="178">
        <v>0</v>
      </c>
      <c r="R90" s="178">
        <v>0</v>
      </c>
      <c r="S90" s="182">
        <v>0</v>
      </c>
      <c r="T90" s="182">
        <v>0</v>
      </c>
      <c r="U90" s="219">
        <f t="shared" ref="U90:U92" si="31">SUM(I90:T90)</f>
        <v>1565252.1887700001</v>
      </c>
      <c r="V90" s="160"/>
      <c r="W90" s="161"/>
      <c r="X90" s="161"/>
      <c r="Y90" s="161"/>
      <c r="Z90" s="162"/>
      <c r="AA90" s="121" t="e">
        <f>+#REF!-#REF!</f>
        <v>#REF!</v>
      </c>
      <c r="AB90" s="155">
        <v>1650.9752800008282</v>
      </c>
    </row>
    <row r="91" spans="1:34" ht="12.75" customHeight="1" x14ac:dyDescent="0.2">
      <c r="A91" s="129"/>
      <c r="B91" s="130"/>
      <c r="C91" s="121"/>
      <c r="D91" s="121"/>
      <c r="E91" s="173" t="s">
        <v>132</v>
      </c>
      <c r="F91" s="173"/>
      <c r="G91" s="164"/>
      <c r="H91" s="157">
        <v>329100.99999999994</v>
      </c>
      <c r="I91" s="178">
        <v>0</v>
      </c>
      <c r="J91" s="178">
        <v>0</v>
      </c>
      <c r="K91" s="178">
        <v>0</v>
      </c>
      <c r="L91" s="178">
        <v>216757.96463999999</v>
      </c>
      <c r="M91" s="178">
        <v>0</v>
      </c>
      <c r="N91" s="178">
        <v>0</v>
      </c>
      <c r="O91" s="178">
        <v>0</v>
      </c>
      <c r="P91" s="178">
        <v>0</v>
      </c>
      <c r="Q91" s="178">
        <v>0</v>
      </c>
      <c r="R91" s="178">
        <v>0</v>
      </c>
      <c r="S91" s="156">
        <v>0</v>
      </c>
      <c r="T91" s="156">
        <v>0</v>
      </c>
      <c r="U91" s="221">
        <f t="shared" si="31"/>
        <v>216757.96463999999</v>
      </c>
      <c r="V91" s="160"/>
      <c r="W91" s="161"/>
      <c r="X91" s="161"/>
      <c r="Y91" s="161"/>
      <c r="Z91" s="162"/>
      <c r="AA91" s="121" t="e">
        <f>+#REF!-#REF!</f>
        <v>#REF!</v>
      </c>
      <c r="AB91" s="155">
        <v>0.42619000002741814</v>
      </c>
    </row>
    <row r="92" spans="1:34" ht="12.6" customHeight="1" x14ac:dyDescent="0.2">
      <c r="A92" s="129"/>
      <c r="B92" s="121"/>
      <c r="C92" s="121"/>
      <c r="D92" s="121"/>
      <c r="E92" s="173" t="s">
        <v>133</v>
      </c>
      <c r="F92" s="173"/>
      <c r="G92" s="164"/>
      <c r="H92" s="157">
        <v>8397854.9542585108</v>
      </c>
      <c r="I92" s="178">
        <v>1215.8561399999999</v>
      </c>
      <c r="J92" s="178">
        <v>6536.7468999999501</v>
      </c>
      <c r="K92" s="178">
        <v>4667806.4456400005</v>
      </c>
      <c r="L92" s="178">
        <v>-1176720.2021300001</v>
      </c>
      <c r="M92" s="178">
        <v>349787.30255999998</v>
      </c>
      <c r="N92" s="178">
        <v>257470.79566999999</v>
      </c>
      <c r="O92" s="178">
        <v>0</v>
      </c>
      <c r="P92" s="178">
        <v>0</v>
      </c>
      <c r="Q92" s="178">
        <v>0</v>
      </c>
      <c r="R92" s="178">
        <v>0</v>
      </c>
      <c r="S92" s="156">
        <v>0</v>
      </c>
      <c r="T92" s="156">
        <v>0</v>
      </c>
      <c r="U92" s="221">
        <f t="shared" si="31"/>
        <v>4106096.9447799996</v>
      </c>
      <c r="V92" s="160"/>
      <c r="W92" s="161"/>
      <c r="X92" s="161"/>
      <c r="Y92" s="161"/>
      <c r="Z92" s="162"/>
      <c r="AA92" s="121" t="e">
        <f>+#REF!-#REF!</f>
        <v>#REF!</v>
      </c>
      <c r="AB92" s="155">
        <v>1846.8231500033289</v>
      </c>
    </row>
    <row r="93" spans="1:34" s="155" customFormat="1" ht="12.75" customHeight="1" x14ac:dyDescent="0.2">
      <c r="A93" s="162"/>
      <c r="B93" s="149"/>
      <c r="C93" s="149"/>
      <c r="D93" s="149"/>
      <c r="E93" s="179" t="s">
        <v>134</v>
      </c>
      <c r="F93" s="179"/>
      <c r="G93" s="164"/>
      <c r="H93" s="187"/>
      <c r="I93" s="178"/>
      <c r="J93" s="178"/>
      <c r="K93" s="178"/>
      <c r="L93" s="178"/>
      <c r="M93" s="178"/>
      <c r="N93" s="178"/>
      <c r="O93" s="178"/>
      <c r="P93" s="178"/>
      <c r="Q93" s="178"/>
      <c r="R93" s="178"/>
      <c r="S93" s="131"/>
      <c r="T93" s="131"/>
      <c r="U93" s="228"/>
      <c r="V93" s="160"/>
      <c r="W93" s="161"/>
      <c r="X93" s="161"/>
      <c r="Y93" s="161"/>
      <c r="Z93" s="162"/>
      <c r="AA93" s="121" t="e">
        <f>+#REF!-#REF!</f>
        <v>#REF!</v>
      </c>
      <c r="AB93" s="155">
        <v>0</v>
      </c>
      <c r="AD93" s="105" t="s">
        <v>135</v>
      </c>
      <c r="AE93" s="105" t="s">
        <v>136</v>
      </c>
      <c r="AH93" s="120"/>
    </row>
    <row r="94" spans="1:34" s="155" customFormat="1" ht="12.75" customHeight="1" x14ac:dyDescent="0.2">
      <c r="A94" s="162"/>
      <c r="B94" s="149"/>
      <c r="C94" s="149"/>
      <c r="D94" s="149"/>
      <c r="E94" s="229" t="s">
        <v>137</v>
      </c>
      <c r="F94" s="179"/>
      <c r="G94" s="164"/>
      <c r="H94" s="187">
        <v>8367456.9542585108</v>
      </c>
      <c r="I94" s="164">
        <v>380.17591999999996</v>
      </c>
      <c r="J94" s="164">
        <v>6086.8554899999872</v>
      </c>
      <c r="K94" s="164">
        <v>4667661.56489</v>
      </c>
      <c r="L94" s="164">
        <v>-1177127.9675199999</v>
      </c>
      <c r="M94" s="178">
        <v>349172.53522000002</v>
      </c>
      <c r="N94" s="178">
        <v>256221.06475999998</v>
      </c>
      <c r="O94" s="178">
        <v>0</v>
      </c>
      <c r="P94" s="178">
        <v>0</v>
      </c>
      <c r="Q94" s="178">
        <v>0</v>
      </c>
      <c r="R94" s="164">
        <v>0</v>
      </c>
      <c r="S94" s="131">
        <v>0</v>
      </c>
      <c r="T94" s="131">
        <v>0</v>
      </c>
      <c r="U94" s="228">
        <f t="shared" ref="U94:U95" si="32">SUM(I94:T94)</f>
        <v>4102394.2287600003</v>
      </c>
      <c r="V94" s="191"/>
      <c r="W94" s="190"/>
      <c r="X94" s="190"/>
      <c r="Y94" s="190"/>
      <c r="Z94" s="162"/>
      <c r="AA94" s="121" t="e">
        <f>+#REF!-#REF!</f>
        <v>#REF!</v>
      </c>
      <c r="AB94" s="155">
        <v>-413476.23652999662</v>
      </c>
      <c r="AD94" s="155" t="e">
        <f>+#REF!</f>
        <v>#REF!</v>
      </c>
      <c r="AE94" s="155">
        <f>+'[19]2A'!$C$37</f>
        <v>1287690241</v>
      </c>
      <c r="AF94" s="155" t="str">
        <f>+B75</f>
        <v>Total tax revenue (gross)</v>
      </c>
      <c r="AH94" s="120"/>
    </row>
    <row r="95" spans="1:34" s="202" customFormat="1" ht="12.75" customHeight="1" x14ac:dyDescent="0.2">
      <c r="A95" s="197"/>
      <c r="B95" s="130"/>
      <c r="C95" s="130" t="s">
        <v>138</v>
      </c>
      <c r="D95" s="130"/>
      <c r="E95" s="177"/>
      <c r="F95" s="177"/>
      <c r="G95" s="223"/>
      <c r="H95" s="171">
        <v>124809</v>
      </c>
      <c r="I95" s="224">
        <v>2077.8758600000001</v>
      </c>
      <c r="J95" s="224">
        <v>46.144419999999997</v>
      </c>
      <c r="K95" s="224">
        <v>916.66796999999997</v>
      </c>
      <c r="L95" s="224">
        <v>23713.248240000001</v>
      </c>
      <c r="M95" s="224">
        <v>6222.0098100000005</v>
      </c>
      <c r="N95" s="224">
        <v>20620.294889999997</v>
      </c>
      <c r="O95" s="224">
        <v>0</v>
      </c>
      <c r="P95" s="224">
        <v>0</v>
      </c>
      <c r="Q95" s="224">
        <v>0</v>
      </c>
      <c r="R95" s="224">
        <v>0</v>
      </c>
      <c r="S95" s="224">
        <v>0</v>
      </c>
      <c r="T95" s="224">
        <v>0</v>
      </c>
      <c r="U95" s="230">
        <f t="shared" si="32"/>
        <v>53596.241190000001</v>
      </c>
      <c r="V95" s="136"/>
      <c r="W95" s="137"/>
      <c r="X95" s="137"/>
      <c r="Y95" s="137"/>
      <c r="Z95" s="154"/>
      <c r="AA95" s="121" t="e">
        <f>+#REF!-#REF!</f>
        <v>#REF!</v>
      </c>
      <c r="AB95" s="226">
        <v>8721.9927100000059</v>
      </c>
      <c r="AD95" s="202" t="e">
        <f>+#REF!</f>
        <v>#REF!</v>
      </c>
      <c r="AE95" s="202">
        <f>+'[19]2A'!$C$40</f>
        <v>42426677</v>
      </c>
      <c r="AF95" s="202" t="str">
        <f>+A138</f>
        <v>Revenue collected on behalf of the RAF</v>
      </c>
    </row>
    <row r="96" spans="1:34" s="202" customFormat="1" ht="12" customHeight="1" x14ac:dyDescent="0.2">
      <c r="A96" s="197"/>
      <c r="B96" s="130"/>
      <c r="C96" s="130" t="s">
        <v>139</v>
      </c>
      <c r="D96" s="130"/>
      <c r="E96" s="130"/>
      <c r="F96" s="130"/>
      <c r="G96" s="223"/>
      <c r="H96" s="169">
        <v>23138000</v>
      </c>
      <c r="I96" s="169">
        <f t="shared" ref="I96" si="33">SUM(I97:I100)+I113</f>
        <v>1280906.1494</v>
      </c>
      <c r="J96" s="169">
        <f>SUM(J97:J100)+J113</f>
        <v>2831956.80357</v>
      </c>
      <c r="K96" s="171">
        <f>SUM(K97:K100)+K113</f>
        <v>3354975.8379500001</v>
      </c>
      <c r="L96" s="171">
        <f t="shared" ref="L96" si="34">SUM(L97:L100)+L113</f>
        <v>3570494.8566899998</v>
      </c>
      <c r="M96" s="171">
        <f>SUM(M97:M100)+M113</f>
        <v>3443987.6545199999</v>
      </c>
      <c r="N96" s="171">
        <f>SUM(N97:N100)+N113</f>
        <v>2033907.35246</v>
      </c>
      <c r="O96" s="171">
        <f t="shared" ref="O96:T96" si="35">SUM(O97:O100)+O113</f>
        <v>0</v>
      </c>
      <c r="P96" s="171">
        <f t="shared" si="35"/>
        <v>0</v>
      </c>
      <c r="Q96" s="171">
        <f t="shared" si="35"/>
        <v>0</v>
      </c>
      <c r="R96" s="171">
        <f t="shared" si="35"/>
        <v>0</v>
      </c>
      <c r="S96" s="171">
        <f t="shared" si="35"/>
        <v>0</v>
      </c>
      <c r="T96" s="171">
        <f t="shared" si="35"/>
        <v>0</v>
      </c>
      <c r="U96" s="225">
        <f>SUM(I96:T96)</f>
        <v>16516228.654590001</v>
      </c>
      <c r="V96" s="136"/>
      <c r="W96" s="137"/>
      <c r="X96" s="137"/>
      <c r="Y96" s="137"/>
      <c r="Z96" s="154"/>
      <c r="AA96" s="121" t="e">
        <f>+#REF!-#REF!</f>
        <v>#REF!</v>
      </c>
      <c r="AB96" s="121">
        <v>1349618.5515399985</v>
      </c>
      <c r="AD96" s="202" t="e">
        <f>+#REF!</f>
        <v>#REF!</v>
      </c>
      <c r="AE96" s="202">
        <f>+'[19]2A'!$C$41</f>
        <v>19116523</v>
      </c>
      <c r="AF96" s="202" t="str">
        <f>+A139</f>
        <v>Revenue collected on behalf of the UIF</v>
      </c>
    </row>
    <row r="97" spans="1:28" ht="12" hidden="1" customHeight="1" x14ac:dyDescent="0.2">
      <c r="A97" s="129"/>
      <c r="B97" s="121"/>
      <c r="C97" s="121"/>
      <c r="D97" s="121"/>
      <c r="E97" s="121" t="s">
        <v>140</v>
      </c>
      <c r="F97" s="121"/>
      <c r="G97" s="231"/>
      <c r="H97" s="157">
        <v>0</v>
      </c>
      <c r="I97" s="157">
        <v>0</v>
      </c>
      <c r="J97" s="157">
        <v>0</v>
      </c>
      <c r="K97" s="157">
        <v>0</v>
      </c>
      <c r="L97" s="157">
        <v>0</v>
      </c>
      <c r="M97" s="157">
        <v>0</v>
      </c>
      <c r="N97" s="157">
        <v>0</v>
      </c>
      <c r="O97" s="157">
        <v>0</v>
      </c>
      <c r="P97" s="157">
        <v>0</v>
      </c>
      <c r="Q97" s="157">
        <v>0</v>
      </c>
      <c r="R97" s="157">
        <v>0</v>
      </c>
      <c r="S97" s="157">
        <v>0</v>
      </c>
      <c r="T97" s="157">
        <v>0</v>
      </c>
      <c r="U97" s="158">
        <v>0</v>
      </c>
      <c r="V97" s="160"/>
      <c r="W97" s="161"/>
      <c r="X97" s="161"/>
      <c r="Y97" s="161"/>
      <c r="Z97" s="162"/>
      <c r="AA97" s="121" t="e">
        <f>+#REF!-#REF!</f>
        <v>#REF!</v>
      </c>
      <c r="AB97" s="155">
        <v>0</v>
      </c>
    </row>
    <row r="98" spans="1:28" ht="12.75" hidden="1" customHeight="1" x14ac:dyDescent="0.2">
      <c r="A98" s="129"/>
      <c r="B98" s="121"/>
      <c r="C98" s="121"/>
      <c r="D98" s="121"/>
      <c r="E98" s="232" t="s">
        <v>141</v>
      </c>
      <c r="F98" s="233"/>
      <c r="G98" s="173"/>
      <c r="H98" s="234">
        <v>3838</v>
      </c>
      <c r="I98" s="157">
        <v>0</v>
      </c>
      <c r="J98" s="157">
        <v>0</v>
      </c>
      <c r="K98" s="157">
        <v>0</v>
      </c>
      <c r="L98" s="157">
        <v>0</v>
      </c>
      <c r="M98" s="157">
        <v>0</v>
      </c>
      <c r="N98" s="157">
        <v>0</v>
      </c>
      <c r="O98" s="157">
        <v>0</v>
      </c>
      <c r="P98" s="157">
        <v>0</v>
      </c>
      <c r="Q98" s="157">
        <v>0</v>
      </c>
      <c r="R98" s="157">
        <v>0</v>
      </c>
      <c r="S98" s="157">
        <v>0</v>
      </c>
      <c r="T98" s="157">
        <v>0</v>
      </c>
      <c r="U98" s="158">
        <v>0</v>
      </c>
      <c r="V98" s="160"/>
      <c r="W98" s="161"/>
      <c r="X98" s="161"/>
      <c r="Y98" s="161"/>
      <c r="Z98" s="162"/>
      <c r="AA98" s="121" t="e">
        <f>+#REF!-#REF!</f>
        <v>#REF!</v>
      </c>
      <c r="AB98" s="155">
        <v>0</v>
      </c>
    </row>
    <row r="99" spans="1:28" ht="12.75" hidden="1" customHeight="1" x14ac:dyDescent="0.2">
      <c r="A99" s="129"/>
      <c r="B99" s="121"/>
      <c r="C99" s="121"/>
      <c r="D99" s="121"/>
      <c r="E99" s="173" t="s">
        <v>142</v>
      </c>
      <c r="F99" s="233"/>
      <c r="G99" s="173"/>
      <c r="H99" s="234">
        <v>311001</v>
      </c>
      <c r="I99" s="157">
        <v>18853.483210000002</v>
      </c>
      <c r="J99" s="157">
        <f>19033.77909+8.19596999999339</f>
        <v>19041.975059999993</v>
      </c>
      <c r="K99" s="157">
        <v>21892.433510000003</v>
      </c>
      <c r="L99" s="157">
        <v>14593.450540000005</v>
      </c>
      <c r="M99" s="157">
        <v>15284.014260000007</v>
      </c>
      <c r="N99" s="157">
        <v>28338.520590000004</v>
      </c>
      <c r="O99" s="157">
        <v>0</v>
      </c>
      <c r="P99" s="157">
        <v>0</v>
      </c>
      <c r="Q99" s="157">
        <v>0</v>
      </c>
      <c r="R99" s="157">
        <v>0</v>
      </c>
      <c r="S99" s="157">
        <v>0</v>
      </c>
      <c r="T99" s="157">
        <v>0</v>
      </c>
      <c r="U99" s="158">
        <v>0</v>
      </c>
      <c r="V99" s="160"/>
      <c r="W99" s="161"/>
      <c r="X99" s="161"/>
      <c r="Y99" s="161"/>
      <c r="Z99" s="162"/>
      <c r="AA99" s="121" t="e">
        <f>+#REF!-#REF!</f>
        <v>#REF!</v>
      </c>
      <c r="AB99" s="155">
        <v>0</v>
      </c>
    </row>
    <row r="100" spans="1:28" ht="12.75" hidden="1" customHeight="1" x14ac:dyDescent="0.2">
      <c r="A100" s="129"/>
      <c r="B100" s="121"/>
      <c r="C100" s="121"/>
      <c r="D100" s="121"/>
      <c r="E100" s="173" t="s">
        <v>143</v>
      </c>
      <c r="F100" s="233"/>
      <c r="G100" s="173"/>
      <c r="H100" s="234">
        <v>490791</v>
      </c>
      <c r="I100" s="157">
        <f>SUM(I101:I111)</f>
        <v>25563.66619</v>
      </c>
      <c r="J100" s="157">
        <f t="shared" ref="J100" si="36">SUM(J101:J111)</f>
        <v>5774.8285100000012</v>
      </c>
      <c r="K100" s="157">
        <f>SUM(K101:K111)</f>
        <v>13129.404440000004</v>
      </c>
      <c r="L100" s="157">
        <f>SUM(L101:L111)</f>
        <v>5578.4061500000007</v>
      </c>
      <c r="M100" s="157">
        <v>267196.64026000001</v>
      </c>
      <c r="N100" s="157">
        <f>SUM(N101:N111)</f>
        <v>63991.831869999995</v>
      </c>
      <c r="O100" s="157">
        <v>0</v>
      </c>
      <c r="P100" s="157">
        <v>0</v>
      </c>
      <c r="Q100" s="157">
        <v>0</v>
      </c>
      <c r="R100" s="157">
        <v>0</v>
      </c>
      <c r="S100" s="157">
        <v>0</v>
      </c>
      <c r="T100" s="157">
        <v>0</v>
      </c>
      <c r="U100" s="158">
        <v>0</v>
      </c>
      <c r="V100" s="160"/>
      <c r="W100" s="161"/>
      <c r="X100" s="161"/>
      <c r="Y100" s="161"/>
      <c r="Z100" s="162"/>
      <c r="AA100" s="121" t="e">
        <f>+#REF!-#REF!</f>
        <v>#REF!</v>
      </c>
      <c r="AB100" s="155">
        <v>0</v>
      </c>
    </row>
    <row r="101" spans="1:28" ht="12.75" hidden="1" customHeight="1" x14ac:dyDescent="0.2">
      <c r="A101" s="129"/>
      <c r="B101" s="121"/>
      <c r="C101" s="121"/>
      <c r="D101" s="121"/>
      <c r="E101" s="233" t="s">
        <v>144</v>
      </c>
      <c r="F101" s="233"/>
      <c r="G101" s="173"/>
      <c r="H101" s="235"/>
      <c r="I101" s="157">
        <v>0</v>
      </c>
      <c r="J101" s="157">
        <v>0</v>
      </c>
      <c r="K101" s="157">
        <v>0</v>
      </c>
      <c r="L101" s="157">
        <v>0</v>
      </c>
      <c r="M101" s="157">
        <v>0</v>
      </c>
      <c r="N101" s="157">
        <v>0</v>
      </c>
      <c r="O101" s="157">
        <v>0</v>
      </c>
      <c r="P101" s="157">
        <v>0</v>
      </c>
      <c r="Q101" s="157">
        <v>0</v>
      </c>
      <c r="R101" s="157">
        <v>0</v>
      </c>
      <c r="S101" s="157">
        <v>0</v>
      </c>
      <c r="T101" s="157">
        <v>0</v>
      </c>
      <c r="U101" s="158">
        <v>0</v>
      </c>
      <c r="V101" s="160"/>
      <c r="W101" s="161"/>
      <c r="X101" s="161"/>
      <c r="Y101" s="161"/>
      <c r="Z101" s="162"/>
      <c r="AA101" s="121" t="e">
        <f>+#REF!-#REF!</f>
        <v>#REF!</v>
      </c>
      <c r="AB101" s="155">
        <v>0</v>
      </c>
    </row>
    <row r="102" spans="1:28" ht="12.75" hidden="1" customHeight="1" x14ac:dyDescent="0.2">
      <c r="A102" s="129"/>
      <c r="B102" s="121"/>
      <c r="C102" s="121"/>
      <c r="D102" s="121"/>
      <c r="E102" s="233" t="s">
        <v>145</v>
      </c>
      <c r="F102" s="233"/>
      <c r="G102" s="173"/>
      <c r="H102" s="235"/>
      <c r="I102" s="157">
        <v>0</v>
      </c>
      <c r="J102" s="157">
        <v>0</v>
      </c>
      <c r="K102" s="157">
        <v>0</v>
      </c>
      <c r="L102" s="157">
        <v>0</v>
      </c>
      <c r="M102" s="157">
        <v>0</v>
      </c>
      <c r="N102" s="157">
        <v>302.06428999999997</v>
      </c>
      <c r="O102" s="157">
        <v>0</v>
      </c>
      <c r="P102" s="157">
        <v>0</v>
      </c>
      <c r="Q102" s="157">
        <v>0</v>
      </c>
      <c r="R102" s="157">
        <v>0</v>
      </c>
      <c r="S102" s="157">
        <v>0</v>
      </c>
      <c r="T102" s="157">
        <v>0</v>
      </c>
      <c r="U102" s="158">
        <v>0</v>
      </c>
      <c r="V102" s="160"/>
      <c r="W102" s="161"/>
      <c r="X102" s="161"/>
      <c r="Y102" s="161"/>
      <c r="Z102" s="162"/>
      <c r="AA102" s="121" t="e">
        <f>+#REF!-#REF!</f>
        <v>#REF!</v>
      </c>
      <c r="AB102" s="155">
        <v>0</v>
      </c>
    </row>
    <row r="103" spans="1:28" ht="12.75" hidden="1" customHeight="1" x14ac:dyDescent="0.2">
      <c r="A103" s="129"/>
      <c r="B103" s="121"/>
      <c r="C103" s="121"/>
      <c r="D103" s="121"/>
      <c r="E103" s="233" t="s">
        <v>146</v>
      </c>
      <c r="F103" s="233"/>
      <c r="G103" s="173"/>
      <c r="H103" s="235"/>
      <c r="I103" s="157">
        <v>8.3993099999999998</v>
      </c>
      <c r="J103" s="157">
        <v>25.462820000000001</v>
      </c>
      <c r="K103" s="157">
        <v>12.84346</v>
      </c>
      <c r="L103" s="157">
        <v>21.300079999999998</v>
      </c>
      <c r="M103" s="157">
        <v>7.3093099999999991</v>
      </c>
      <c r="N103" s="157">
        <v>29.079369999999997</v>
      </c>
      <c r="O103" s="157">
        <v>0</v>
      </c>
      <c r="P103" s="157">
        <v>0</v>
      </c>
      <c r="Q103" s="157">
        <v>0</v>
      </c>
      <c r="R103" s="157">
        <v>0</v>
      </c>
      <c r="S103" s="157">
        <v>0</v>
      </c>
      <c r="T103" s="157">
        <v>0</v>
      </c>
      <c r="U103" s="158">
        <v>0</v>
      </c>
      <c r="V103" s="160"/>
      <c r="W103" s="161"/>
      <c r="X103" s="161"/>
      <c r="Y103" s="161"/>
      <c r="Z103" s="162"/>
      <c r="AA103" s="121" t="e">
        <f>+#REF!-#REF!</f>
        <v>#REF!</v>
      </c>
      <c r="AB103" s="155">
        <v>0</v>
      </c>
    </row>
    <row r="104" spans="1:28" ht="12.75" hidden="1" customHeight="1" x14ac:dyDescent="0.2">
      <c r="A104" s="129"/>
      <c r="B104" s="121"/>
      <c r="C104" s="121"/>
      <c r="D104" s="121"/>
      <c r="E104" s="233" t="s">
        <v>147</v>
      </c>
      <c r="F104" s="233"/>
      <c r="G104" s="173"/>
      <c r="H104" s="235"/>
      <c r="I104" s="157">
        <v>0</v>
      </c>
      <c r="J104" s="157">
        <v>1.4</v>
      </c>
      <c r="K104" s="157">
        <v>0.6</v>
      </c>
      <c r="L104" s="157">
        <v>0</v>
      </c>
      <c r="M104" s="157">
        <v>0</v>
      </c>
      <c r="N104" s="157">
        <v>6.69</v>
      </c>
      <c r="O104" s="157">
        <v>0</v>
      </c>
      <c r="P104" s="157">
        <v>0</v>
      </c>
      <c r="Q104" s="157">
        <v>0</v>
      </c>
      <c r="R104" s="157">
        <v>0</v>
      </c>
      <c r="S104" s="157">
        <v>0</v>
      </c>
      <c r="T104" s="157">
        <v>0</v>
      </c>
      <c r="U104" s="158">
        <v>0</v>
      </c>
      <c r="V104" s="160"/>
      <c r="W104" s="161"/>
      <c r="X104" s="161"/>
      <c r="Y104" s="161"/>
      <c r="Z104" s="162"/>
      <c r="AA104" s="121" t="e">
        <f>+#REF!-#REF!</f>
        <v>#REF!</v>
      </c>
      <c r="AB104" s="155">
        <v>0</v>
      </c>
    </row>
    <row r="105" spans="1:28" ht="12.75" hidden="1" customHeight="1" x14ac:dyDescent="0.2">
      <c r="A105" s="129"/>
      <c r="B105" s="121"/>
      <c r="C105" s="121"/>
      <c r="D105" s="121"/>
      <c r="E105" s="233" t="s">
        <v>148</v>
      </c>
      <c r="F105" s="233"/>
      <c r="G105" s="173"/>
      <c r="H105" s="235"/>
      <c r="I105" s="157">
        <v>0</v>
      </c>
      <c r="J105" s="157">
        <v>0</v>
      </c>
      <c r="K105" s="157">
        <v>0</v>
      </c>
      <c r="L105" s="157">
        <v>0</v>
      </c>
      <c r="M105" s="157">
        <v>0</v>
      </c>
      <c r="N105" s="157">
        <v>0</v>
      </c>
      <c r="O105" s="157">
        <v>0</v>
      </c>
      <c r="P105" s="157">
        <v>0</v>
      </c>
      <c r="Q105" s="157">
        <v>0</v>
      </c>
      <c r="R105" s="157">
        <v>0</v>
      </c>
      <c r="S105" s="157">
        <v>0</v>
      </c>
      <c r="T105" s="157">
        <v>0</v>
      </c>
      <c r="U105" s="158">
        <v>0</v>
      </c>
      <c r="V105" s="160"/>
      <c r="W105" s="161"/>
      <c r="X105" s="161"/>
      <c r="Y105" s="161"/>
      <c r="Z105" s="162"/>
      <c r="AA105" s="121" t="e">
        <f>+#REF!-#REF!</f>
        <v>#REF!</v>
      </c>
      <c r="AB105" s="155">
        <v>0</v>
      </c>
    </row>
    <row r="106" spans="1:28" ht="12.75" hidden="1" customHeight="1" x14ac:dyDescent="0.2">
      <c r="A106" s="129"/>
      <c r="B106" s="121"/>
      <c r="C106" s="121"/>
      <c r="D106" s="121"/>
      <c r="E106" s="233" t="s">
        <v>149</v>
      </c>
      <c r="F106" s="233"/>
      <c r="G106" s="173"/>
      <c r="H106" s="235"/>
      <c r="I106" s="157">
        <v>0</v>
      </c>
      <c r="J106" s="157">
        <v>4.8891</v>
      </c>
      <c r="K106" s="157">
        <v>63.836120000000001</v>
      </c>
      <c r="L106" s="157">
        <v>760.40255000000002</v>
      </c>
      <c r="M106" s="157">
        <v>688.91276000000005</v>
      </c>
      <c r="N106" s="157">
        <v>77.621660000000006</v>
      </c>
      <c r="O106" s="157">
        <v>0</v>
      </c>
      <c r="P106" s="157">
        <v>0</v>
      </c>
      <c r="Q106" s="157">
        <v>0</v>
      </c>
      <c r="R106" s="157">
        <v>0</v>
      </c>
      <c r="S106" s="157">
        <v>0</v>
      </c>
      <c r="T106" s="157">
        <v>0</v>
      </c>
      <c r="U106" s="158">
        <v>0</v>
      </c>
      <c r="V106" s="160"/>
      <c r="W106" s="161"/>
      <c r="X106" s="161"/>
      <c r="Y106" s="161"/>
      <c r="Z106" s="162"/>
      <c r="AA106" s="121" t="e">
        <f>+#REF!-#REF!</f>
        <v>#REF!</v>
      </c>
      <c r="AB106" s="155">
        <v>0</v>
      </c>
    </row>
    <row r="107" spans="1:28" ht="12.75" hidden="1" customHeight="1" x14ac:dyDescent="0.2">
      <c r="A107" s="129"/>
      <c r="B107" s="121"/>
      <c r="C107" s="121"/>
      <c r="D107" s="121"/>
      <c r="E107" s="233" t="s">
        <v>150</v>
      </c>
      <c r="F107" s="233"/>
      <c r="G107" s="173"/>
      <c r="H107" s="235"/>
      <c r="I107" s="157">
        <v>0</v>
      </c>
      <c r="J107" s="157">
        <v>0</v>
      </c>
      <c r="K107" s="157">
        <v>0</v>
      </c>
      <c r="L107" s="157">
        <v>0</v>
      </c>
      <c r="M107" s="157">
        <v>0</v>
      </c>
      <c r="N107" s="157">
        <v>0</v>
      </c>
      <c r="O107" s="157">
        <v>0</v>
      </c>
      <c r="P107" s="157">
        <v>0</v>
      </c>
      <c r="Q107" s="157">
        <v>0</v>
      </c>
      <c r="R107" s="157">
        <v>0</v>
      </c>
      <c r="S107" s="157">
        <v>0</v>
      </c>
      <c r="T107" s="157">
        <v>0</v>
      </c>
      <c r="U107" s="158">
        <v>0</v>
      </c>
      <c r="V107" s="160"/>
      <c r="W107" s="161"/>
      <c r="X107" s="161"/>
      <c r="Y107" s="161"/>
      <c r="Z107" s="162"/>
      <c r="AA107" s="121" t="e">
        <f>+#REF!-#REF!</f>
        <v>#REF!</v>
      </c>
      <c r="AB107" s="155">
        <v>0</v>
      </c>
    </row>
    <row r="108" spans="1:28" ht="12.75" hidden="1" customHeight="1" x14ac:dyDescent="0.2">
      <c r="A108" s="129"/>
      <c r="B108" s="121"/>
      <c r="C108" s="121"/>
      <c r="D108" s="121"/>
      <c r="E108" s="233" t="s">
        <v>151</v>
      </c>
      <c r="F108" s="233"/>
      <c r="G108" s="173"/>
      <c r="H108" s="235"/>
      <c r="I108" s="157">
        <v>21418.386079999997</v>
      </c>
      <c r="J108" s="157">
        <f>5294.84706+15.4534200000016</f>
        <v>5310.3004800000017</v>
      </c>
      <c r="K108" s="157">
        <v>12173.734470000003</v>
      </c>
      <c r="L108" s="157">
        <v>3936.64057</v>
      </c>
      <c r="M108" s="157">
        <v>257341.98372000002</v>
      </c>
      <c r="N108" s="157">
        <v>8837.938009999998</v>
      </c>
      <c r="O108" s="157">
        <v>0</v>
      </c>
      <c r="P108" s="157">
        <v>0</v>
      </c>
      <c r="Q108" s="157">
        <v>0</v>
      </c>
      <c r="R108" s="157">
        <v>0</v>
      </c>
      <c r="S108" s="157">
        <v>0</v>
      </c>
      <c r="T108" s="157">
        <v>0</v>
      </c>
      <c r="U108" s="158">
        <v>0</v>
      </c>
      <c r="V108" s="160"/>
      <c r="W108" s="161"/>
      <c r="X108" s="161"/>
      <c r="Y108" s="161"/>
      <c r="Z108" s="162"/>
      <c r="AA108" s="121" t="e">
        <f>+#REF!-#REF!</f>
        <v>#REF!</v>
      </c>
      <c r="AB108" s="155">
        <v>0</v>
      </c>
    </row>
    <row r="109" spans="1:28" ht="12.75" hidden="1" customHeight="1" x14ac:dyDescent="0.2">
      <c r="A109" s="129"/>
      <c r="B109" s="121"/>
      <c r="C109" s="121"/>
      <c r="D109" s="121"/>
      <c r="E109" s="233" t="s">
        <v>152</v>
      </c>
      <c r="F109" s="233"/>
      <c r="G109" s="173"/>
      <c r="H109" s="235"/>
      <c r="I109" s="157">
        <v>7.5509300000000001</v>
      </c>
      <c r="J109" s="157">
        <v>45.905910000000006</v>
      </c>
      <c r="K109" s="157">
        <v>-31.74268</v>
      </c>
      <c r="L109" s="157">
        <v>50.914449999999995</v>
      </c>
      <c r="M109" s="157">
        <v>8001.6513800000002</v>
      </c>
      <c r="N109" s="157">
        <v>87.799630000000008</v>
      </c>
      <c r="O109" s="157">
        <v>0</v>
      </c>
      <c r="P109" s="157">
        <v>0</v>
      </c>
      <c r="Q109" s="157">
        <v>0</v>
      </c>
      <c r="R109" s="157">
        <v>0</v>
      </c>
      <c r="S109" s="157">
        <v>0</v>
      </c>
      <c r="T109" s="157">
        <v>0</v>
      </c>
      <c r="U109" s="158">
        <v>0</v>
      </c>
      <c r="V109" s="160"/>
      <c r="W109" s="161"/>
      <c r="X109" s="161"/>
      <c r="Y109" s="161"/>
      <c r="Z109" s="162"/>
      <c r="AA109" s="121" t="e">
        <f>+#REF!-#REF!</f>
        <v>#REF!</v>
      </c>
      <c r="AB109" s="155">
        <v>0</v>
      </c>
    </row>
    <row r="110" spans="1:28" ht="12.75" hidden="1" customHeight="1" x14ac:dyDescent="0.2">
      <c r="A110" s="129"/>
      <c r="B110" s="121"/>
      <c r="C110" s="121"/>
      <c r="D110" s="121"/>
      <c r="E110" s="233" t="s">
        <v>153</v>
      </c>
      <c r="F110" s="233"/>
      <c r="G110" s="173"/>
      <c r="H110" s="235"/>
      <c r="I110" s="157">
        <v>4129.2898700000005</v>
      </c>
      <c r="J110" s="157">
        <f>340.8452+46</f>
        <v>386.84519999999998</v>
      </c>
      <c r="K110" s="157">
        <v>910.13306999999986</v>
      </c>
      <c r="L110" s="157">
        <v>809.14850000000001</v>
      </c>
      <c r="M110" s="157">
        <v>1156.7830900000001</v>
      </c>
      <c r="N110" s="157">
        <v>54650.248909999995</v>
      </c>
      <c r="O110" s="157">
        <v>0</v>
      </c>
      <c r="P110" s="157">
        <v>0</v>
      </c>
      <c r="Q110" s="157">
        <v>0</v>
      </c>
      <c r="R110" s="157">
        <v>0</v>
      </c>
      <c r="S110" s="157">
        <v>0</v>
      </c>
      <c r="T110" s="157">
        <v>0</v>
      </c>
      <c r="U110" s="158">
        <v>0</v>
      </c>
      <c r="V110" s="160"/>
      <c r="W110" s="161"/>
      <c r="X110" s="161"/>
      <c r="Y110" s="161"/>
      <c r="Z110" s="162"/>
      <c r="AA110" s="121" t="e">
        <f>+#REF!-#REF!</f>
        <v>#REF!</v>
      </c>
      <c r="AB110" s="155">
        <v>0</v>
      </c>
    </row>
    <row r="111" spans="1:28" ht="12.75" hidden="1" customHeight="1" x14ac:dyDescent="0.2">
      <c r="A111" s="129"/>
      <c r="B111" s="121"/>
      <c r="C111" s="121"/>
      <c r="D111" s="121"/>
      <c r="E111" s="233" t="s">
        <v>154</v>
      </c>
      <c r="F111" s="233"/>
      <c r="G111" s="173"/>
      <c r="H111" s="235"/>
      <c r="I111" s="156">
        <v>0.04</v>
      </c>
      <c r="J111" s="156">
        <v>2.5000000000000001E-2</v>
      </c>
      <c r="K111" s="157">
        <v>0</v>
      </c>
      <c r="L111" s="236">
        <v>0</v>
      </c>
      <c r="M111" s="157">
        <v>0</v>
      </c>
      <c r="N111" s="157">
        <v>0.39</v>
      </c>
      <c r="O111" s="157">
        <v>0</v>
      </c>
      <c r="P111" s="157">
        <v>0</v>
      </c>
      <c r="Q111" s="157">
        <v>0</v>
      </c>
      <c r="R111" s="157">
        <v>0</v>
      </c>
      <c r="S111" s="157">
        <v>0</v>
      </c>
      <c r="T111" s="157">
        <v>0</v>
      </c>
      <c r="U111" s="158">
        <v>0</v>
      </c>
      <c r="V111" s="160"/>
      <c r="W111" s="161"/>
      <c r="X111" s="161"/>
      <c r="Y111" s="161"/>
      <c r="Z111" s="162"/>
      <c r="AA111" s="121" t="e">
        <f>+#REF!-#REF!</f>
        <v>#REF!</v>
      </c>
      <c r="AB111" s="155">
        <v>-0.2581</v>
      </c>
    </row>
    <row r="112" spans="1:28" ht="12.75" customHeight="1" x14ac:dyDescent="0.2">
      <c r="A112" s="129"/>
      <c r="B112" s="121"/>
      <c r="D112" s="179"/>
      <c r="E112" s="186" t="s">
        <v>92</v>
      </c>
      <c r="F112" s="173"/>
      <c r="G112" s="173"/>
      <c r="H112" s="157"/>
      <c r="I112" s="156"/>
      <c r="J112" s="156"/>
      <c r="K112" s="157"/>
      <c r="L112" s="157"/>
      <c r="M112" s="157"/>
      <c r="N112" s="157"/>
      <c r="O112" s="157"/>
      <c r="P112" s="157"/>
      <c r="Q112" s="157"/>
      <c r="R112" s="157"/>
      <c r="S112" s="157"/>
      <c r="T112" s="157"/>
      <c r="U112" s="158"/>
      <c r="V112" s="160"/>
      <c r="W112" s="161"/>
      <c r="X112" s="161"/>
      <c r="Y112" s="161"/>
      <c r="Z112" s="162"/>
      <c r="AA112" s="121"/>
      <c r="AB112" s="155">
        <v>0</v>
      </c>
    </row>
    <row r="113" spans="1:34" s="155" customFormat="1" ht="12.75" customHeight="1" x14ac:dyDescent="0.2">
      <c r="A113" s="162"/>
      <c r="B113" s="149"/>
      <c r="C113" s="237"/>
      <c r="D113" s="149"/>
      <c r="E113" s="229" t="s">
        <v>155</v>
      </c>
      <c r="F113" s="179"/>
      <c r="G113" s="231" t="s">
        <v>156</v>
      </c>
      <c r="H113" s="238">
        <f>+[20]original!$F$6</f>
        <v>17167000</v>
      </c>
      <c r="I113" s="239">
        <f>+[21]original!$G$6</f>
        <v>1236489</v>
      </c>
      <c r="J113" s="239">
        <f>+[22]original!$H$6</f>
        <v>2807140</v>
      </c>
      <c r="K113" s="239">
        <f>+[23]original!$I$6</f>
        <v>3319954</v>
      </c>
      <c r="L113" s="239">
        <f>+[20]original!$J$6</f>
        <v>3550323</v>
      </c>
      <c r="M113" s="239">
        <f>+[24]original!$K$6</f>
        <v>3161507</v>
      </c>
      <c r="N113" s="239">
        <f>+[25]original!$L$6</f>
        <v>1941577</v>
      </c>
      <c r="O113" s="239">
        <v>0</v>
      </c>
      <c r="P113" s="239">
        <v>0</v>
      </c>
      <c r="Q113" s="239">
        <v>0</v>
      </c>
      <c r="R113" s="239">
        <v>0</v>
      </c>
      <c r="S113" s="239">
        <v>0</v>
      </c>
      <c r="T113" s="239">
        <v>0</v>
      </c>
      <c r="U113" s="240">
        <f t="shared" ref="U113" si="37">SUM(I113:T113)</f>
        <v>16016990</v>
      </c>
      <c r="V113" s="191"/>
      <c r="W113" s="190"/>
      <c r="X113" s="190"/>
      <c r="Y113" s="190"/>
      <c r="Z113" s="162"/>
      <c r="AA113" s="121" t="e">
        <f>+#REF!-#REF!</f>
        <v>#REF!</v>
      </c>
      <c r="AB113" s="155">
        <v>0</v>
      </c>
      <c r="AD113" s="155" t="e">
        <f>+#REF!</f>
        <v>#REF!</v>
      </c>
      <c r="AE113" s="155">
        <f>+'[19]2A'!$C$44</f>
        <v>61</v>
      </c>
      <c r="AF113" s="120" t="str">
        <f>+A137</f>
        <v>Revenue collected on behalf of the Provincial Authorities</v>
      </c>
      <c r="AH113" s="120"/>
    </row>
    <row r="114" spans="1:34" ht="12.75" customHeight="1" x14ac:dyDescent="0.2">
      <c r="A114" s="241" t="s">
        <v>157</v>
      </c>
      <c r="B114" s="210"/>
      <c r="C114" s="210"/>
      <c r="D114" s="210"/>
      <c r="E114" s="210"/>
      <c r="F114" s="210"/>
      <c r="G114" s="213"/>
      <c r="H114" s="242">
        <f>H80+H77</f>
        <v>1099513646.5522585</v>
      </c>
      <c r="I114" s="242">
        <f>I80+I77</f>
        <v>63095740.380769998</v>
      </c>
      <c r="J114" s="242">
        <f t="shared" ref="J114:T114" si="38">J80+J77</f>
        <v>68106446.022430018</v>
      </c>
      <c r="K114" s="242">
        <f t="shared" si="38"/>
        <v>108554101.37664002</v>
      </c>
      <c r="L114" s="242">
        <f t="shared" si="38"/>
        <v>62846312.960169993</v>
      </c>
      <c r="M114" s="242">
        <f t="shared" si="38"/>
        <v>101855148.66649999</v>
      </c>
      <c r="N114" s="242">
        <f t="shared" si="38"/>
        <v>105679255.27216996</v>
      </c>
      <c r="O114" s="242">
        <f t="shared" si="38"/>
        <v>0</v>
      </c>
      <c r="P114" s="242">
        <f t="shared" si="38"/>
        <v>0</v>
      </c>
      <c r="Q114" s="242">
        <f t="shared" si="38"/>
        <v>0</v>
      </c>
      <c r="R114" s="242">
        <f t="shared" si="38"/>
        <v>0</v>
      </c>
      <c r="S114" s="242">
        <f t="shared" si="38"/>
        <v>0</v>
      </c>
      <c r="T114" s="242">
        <f t="shared" si="38"/>
        <v>0</v>
      </c>
      <c r="U114" s="243">
        <f>U80+U77</f>
        <v>510137004.67867988</v>
      </c>
      <c r="V114" s="197"/>
      <c r="W114" s="130"/>
      <c r="X114" s="130"/>
      <c r="Y114" s="130"/>
      <c r="Z114" s="162"/>
      <c r="AA114" s="121" t="e">
        <f>+#REF!-#REF!</f>
        <v>#REF!</v>
      </c>
      <c r="AB114" s="155">
        <v>3038753.8011901379</v>
      </c>
      <c r="AD114" s="120" t="e">
        <f>+#REF!</f>
        <v>#REF!</v>
      </c>
      <c r="AE114" s="120">
        <f>+'[19]2A'!$C$42+'[19]2A'!$C$43</f>
        <v>9025258</v>
      </c>
      <c r="AF114" s="120" t="str">
        <f>+E94</f>
        <v xml:space="preserve"> Mineral and petroleum royalties</v>
      </c>
    </row>
    <row r="115" spans="1:34" ht="12.75" customHeight="1" x14ac:dyDescent="0.2">
      <c r="A115" s="696" t="s">
        <v>158</v>
      </c>
      <c r="B115" s="697"/>
      <c r="C115" s="697"/>
      <c r="D115" s="697"/>
      <c r="E115" s="697"/>
      <c r="F115" s="697"/>
      <c r="G115" s="697"/>
      <c r="H115" s="242"/>
      <c r="I115" s="242"/>
      <c r="J115" s="242"/>
      <c r="K115" s="242"/>
      <c r="L115" s="242"/>
      <c r="M115" s="242"/>
      <c r="N115" s="242"/>
      <c r="O115" s="242"/>
      <c r="P115" s="242"/>
      <c r="Q115" s="242"/>
      <c r="R115" s="242"/>
      <c r="S115" s="242"/>
      <c r="T115" s="242"/>
      <c r="U115" s="243"/>
      <c r="V115" s="197"/>
      <c r="W115" s="130"/>
      <c r="X115" s="130"/>
      <c r="Y115" s="130"/>
      <c r="Z115" s="162"/>
      <c r="AA115" s="121" t="e">
        <f>+#REF!-#REF!</f>
        <v>#REF!</v>
      </c>
      <c r="AB115" s="155">
        <v>0</v>
      </c>
      <c r="AD115" s="226" t="e">
        <f>SUM(AD94:AD114)</f>
        <v>#REF!</v>
      </c>
      <c r="AE115" s="202">
        <f>SUM(AE94:AE114)</f>
        <v>1358258760</v>
      </c>
      <c r="AF115" s="120" t="s">
        <v>159</v>
      </c>
    </row>
    <row r="116" spans="1:34" ht="12" customHeight="1" x14ac:dyDescent="0.2">
      <c r="A116" s="244" t="s">
        <v>157</v>
      </c>
      <c r="B116" s="245"/>
      <c r="C116" s="246"/>
      <c r="D116" s="125"/>
      <c r="E116" s="125"/>
      <c r="F116" s="125"/>
      <c r="G116" s="125"/>
      <c r="H116" s="247">
        <f t="shared" ref="H116:T116" si="39">+H114</f>
        <v>1099513646.5522585</v>
      </c>
      <c r="I116" s="248">
        <f t="shared" si="39"/>
        <v>63095740.380769998</v>
      </c>
      <c r="J116" s="248">
        <f t="shared" si="39"/>
        <v>68106446.022430018</v>
      </c>
      <c r="K116" s="248">
        <f t="shared" si="39"/>
        <v>108554101.37664002</v>
      </c>
      <c r="L116" s="248">
        <f t="shared" si="39"/>
        <v>62846312.960169993</v>
      </c>
      <c r="M116" s="247">
        <f t="shared" si="39"/>
        <v>101855148.66649999</v>
      </c>
      <c r="N116" s="248">
        <f t="shared" si="39"/>
        <v>105679255.27216996</v>
      </c>
      <c r="O116" s="248">
        <f t="shared" si="39"/>
        <v>0</v>
      </c>
      <c r="P116" s="248">
        <f t="shared" si="39"/>
        <v>0</v>
      </c>
      <c r="Q116" s="248">
        <f t="shared" si="39"/>
        <v>0</v>
      </c>
      <c r="R116" s="248">
        <f t="shared" si="39"/>
        <v>0</v>
      </c>
      <c r="S116" s="248">
        <f t="shared" si="39"/>
        <v>0</v>
      </c>
      <c r="T116" s="248">
        <f t="shared" si="39"/>
        <v>0</v>
      </c>
      <c r="U116" s="249">
        <f>+U114</f>
        <v>510137004.67867988</v>
      </c>
      <c r="V116" s="251"/>
      <c r="W116" s="252"/>
      <c r="X116" s="252"/>
      <c r="Y116" s="252"/>
      <c r="Z116" s="162"/>
      <c r="AA116" s="121" t="e">
        <f>+#REF!-#REF!</f>
        <v>#REF!</v>
      </c>
      <c r="AB116" s="155">
        <v>3038753.8011901379</v>
      </c>
      <c r="AE116" s="226">
        <v>1358205394</v>
      </c>
      <c r="AF116" s="120" t="s">
        <v>160</v>
      </c>
    </row>
    <row r="117" spans="1:34" s="202" customFormat="1" ht="12.75" customHeight="1" x14ac:dyDescent="0.2">
      <c r="A117" s="253" t="s">
        <v>161</v>
      </c>
      <c r="B117" s="254"/>
      <c r="C117" s="254"/>
      <c r="D117" s="254"/>
      <c r="E117" s="254"/>
      <c r="F117" s="254"/>
      <c r="G117" s="255"/>
      <c r="I117" s="256">
        <f t="shared" ref="I117:U117" si="40">SUM(I118:I119)</f>
        <v>484218.60211000009</v>
      </c>
      <c r="J117" s="256">
        <f t="shared" si="40"/>
        <v>576902.79968999978</v>
      </c>
      <c r="K117" s="256">
        <f t="shared" si="40"/>
        <v>3175.9396899994463</v>
      </c>
      <c r="L117" s="256">
        <f t="shared" si="40"/>
        <v>-251746.45064999955</v>
      </c>
      <c r="M117" s="256">
        <f t="shared" si="40"/>
        <v>-340255.45139000006</v>
      </c>
      <c r="N117" s="256">
        <f t="shared" si="40"/>
        <v>144233.66581000015</v>
      </c>
      <c r="O117" s="256">
        <f t="shared" si="40"/>
        <v>0</v>
      </c>
      <c r="P117" s="256">
        <f t="shared" si="40"/>
        <v>0</v>
      </c>
      <c r="Q117" s="256">
        <f t="shared" si="40"/>
        <v>0</v>
      </c>
      <c r="R117" s="256">
        <f t="shared" si="40"/>
        <v>0</v>
      </c>
      <c r="S117" s="256">
        <f t="shared" si="40"/>
        <v>0</v>
      </c>
      <c r="T117" s="256">
        <f t="shared" si="40"/>
        <v>0</v>
      </c>
      <c r="U117" s="257">
        <f t="shared" si="40"/>
        <v>616529.10525999963</v>
      </c>
      <c r="V117" s="251"/>
      <c r="W117" s="252"/>
      <c r="X117" s="252"/>
      <c r="Y117" s="252"/>
      <c r="Z117" s="154"/>
      <c r="AA117" s="121" t="e">
        <f>+#REF!-#REF!</f>
        <v>#REF!</v>
      </c>
      <c r="AB117" s="226">
        <v>-4215849.896739997</v>
      </c>
      <c r="AE117" s="120">
        <f>+AE115-AE116</f>
        <v>53366</v>
      </c>
      <c r="AF117" s="120" t="s">
        <v>162</v>
      </c>
    </row>
    <row r="118" spans="1:34" ht="12.75" customHeight="1" x14ac:dyDescent="0.2">
      <c r="A118" s="698" t="s">
        <v>163</v>
      </c>
      <c r="B118" s="699"/>
      <c r="C118" s="699"/>
      <c r="D118" s="699"/>
      <c r="E118" s="699"/>
      <c r="F118" s="699"/>
      <c r="G118" s="700"/>
      <c r="H118" s="187"/>
      <c r="I118" s="156">
        <f>-I80+I94+I113</f>
        <v>-596423.39788999991</v>
      </c>
      <c r="J118" s="156">
        <f t="shared" ref="J118:T118" si="41">-J80+J94+J113</f>
        <v>-368947.20031000022</v>
      </c>
      <c r="K118" s="156">
        <f t="shared" si="41"/>
        <v>-344052.06031000055</v>
      </c>
      <c r="L118" s="156">
        <f t="shared" si="41"/>
        <v>-571925.45064999955</v>
      </c>
      <c r="M118" s="156">
        <f t="shared" si="41"/>
        <v>-786426.45139000006</v>
      </c>
      <c r="N118" s="156">
        <f t="shared" si="41"/>
        <v>-494422.33418999985</v>
      </c>
      <c r="O118" s="156">
        <f t="shared" si="41"/>
        <v>0</v>
      </c>
      <c r="P118" s="156">
        <f t="shared" si="41"/>
        <v>0</v>
      </c>
      <c r="Q118" s="156">
        <f t="shared" si="41"/>
        <v>0</v>
      </c>
      <c r="R118" s="156">
        <f t="shared" si="41"/>
        <v>0</v>
      </c>
      <c r="S118" s="156">
        <f t="shared" si="41"/>
        <v>0</v>
      </c>
      <c r="T118" s="156">
        <f t="shared" si="41"/>
        <v>0</v>
      </c>
      <c r="U118" s="221">
        <f>-U80+U94+U113</f>
        <v>-3162196.8947400004</v>
      </c>
      <c r="V118" s="160"/>
      <c r="W118" s="161"/>
      <c r="X118" s="161"/>
      <c r="Y118" s="161"/>
      <c r="Z118" s="162"/>
      <c r="AA118" s="121" t="e">
        <f>+#REF!-#REF!</f>
        <v>#REF!</v>
      </c>
      <c r="AB118" s="155">
        <v>-3452210.896739997</v>
      </c>
      <c r="AE118" s="202">
        <v>-1819</v>
      </c>
      <c r="AF118" s="120" t="s">
        <v>164</v>
      </c>
    </row>
    <row r="119" spans="1:34" ht="12.75" customHeight="1" x14ac:dyDescent="0.2">
      <c r="A119" s="258" t="s">
        <v>165</v>
      </c>
      <c r="B119" s="259"/>
      <c r="C119" s="259"/>
      <c r="D119" s="259"/>
      <c r="E119" s="259"/>
      <c r="F119" s="259"/>
      <c r="G119" s="259"/>
      <c r="H119" s="187"/>
      <c r="I119" s="156">
        <v>1080642</v>
      </c>
      <c r="J119" s="156">
        <f>946604-351-265-138</f>
        <v>945850</v>
      </c>
      <c r="K119" s="156">
        <f>352203-4975</f>
        <v>347228</v>
      </c>
      <c r="L119" s="156">
        <f>320743-204-360</f>
        <v>320179</v>
      </c>
      <c r="M119" s="156">
        <f>658418-97-342-655-335-1193-209625</f>
        <v>446171</v>
      </c>
      <c r="N119" s="156">
        <f>640054-1398</f>
        <v>638656</v>
      </c>
      <c r="O119" s="156">
        <v>0</v>
      </c>
      <c r="P119" s="156">
        <v>0</v>
      </c>
      <c r="Q119" s="156">
        <v>0</v>
      </c>
      <c r="R119" s="156">
        <v>0</v>
      </c>
      <c r="S119" s="260">
        <v>0</v>
      </c>
      <c r="T119" s="260">
        <v>0</v>
      </c>
      <c r="U119" s="261">
        <f t="shared" ref="U119:U130" si="42">SUM(I119:T119)</f>
        <v>3778726</v>
      </c>
      <c r="V119" s="160"/>
      <c r="W119" s="161"/>
      <c r="X119" s="161"/>
      <c r="Y119" s="161"/>
      <c r="Z119" s="162"/>
      <c r="AA119" s="121" t="e">
        <f>+#REF!-#REF!</f>
        <v>#REF!</v>
      </c>
      <c r="AB119" s="155">
        <v>-763639</v>
      </c>
      <c r="AE119" s="120">
        <f>-AE117-AE118</f>
        <v>-51547</v>
      </c>
      <c r="AF119" s="120" t="s">
        <v>166</v>
      </c>
    </row>
    <row r="120" spans="1:34" s="202" customFormat="1" ht="12.75" customHeight="1" x14ac:dyDescent="0.2">
      <c r="A120" s="197" t="s">
        <v>167</v>
      </c>
      <c r="C120" s="254"/>
      <c r="D120" s="130"/>
      <c r="E120" s="130"/>
      <c r="F120" s="130"/>
      <c r="G120" s="231" t="s">
        <v>168</v>
      </c>
      <c r="H120" s="262"/>
      <c r="I120" s="169">
        <f>SUM(I121:I136)</f>
        <v>1280</v>
      </c>
      <c r="J120" s="169">
        <f t="shared" ref="J120:T120" si="43">SUM(J121:J136)</f>
        <v>326479</v>
      </c>
      <c r="K120" s="169">
        <f t="shared" si="43"/>
        <v>9200</v>
      </c>
      <c r="L120" s="169">
        <f t="shared" si="43"/>
        <v>136714</v>
      </c>
      <c r="M120" s="169">
        <f t="shared" si="43"/>
        <v>209925</v>
      </c>
      <c r="N120" s="169">
        <f>SUM(N121:N136)</f>
        <v>308531</v>
      </c>
      <c r="O120" s="169">
        <f t="shared" si="43"/>
        <v>0</v>
      </c>
      <c r="P120" s="263">
        <f t="shared" si="43"/>
        <v>0</v>
      </c>
      <c r="Q120" s="263">
        <f t="shared" si="43"/>
        <v>0</v>
      </c>
      <c r="R120" s="263">
        <f t="shared" si="43"/>
        <v>0</v>
      </c>
      <c r="S120" s="263">
        <f t="shared" si="43"/>
        <v>0</v>
      </c>
      <c r="T120" s="263">
        <f t="shared" si="43"/>
        <v>0</v>
      </c>
      <c r="U120" s="264">
        <f>SUM(I120:T120)</f>
        <v>992129</v>
      </c>
      <c r="V120" s="136"/>
      <c r="W120" s="137"/>
      <c r="X120" s="137"/>
      <c r="Y120" s="137"/>
      <c r="Z120" s="154"/>
      <c r="AA120" s="121" t="e">
        <f>+#REF!-#REF!</f>
        <v>#REF!</v>
      </c>
      <c r="AB120" s="226">
        <v>532273</v>
      </c>
    </row>
    <row r="121" spans="1:34" ht="12.75" customHeight="1" x14ac:dyDescent="0.2">
      <c r="A121" s="129"/>
      <c r="E121" s="120" t="s">
        <v>169</v>
      </c>
      <c r="F121" s="121"/>
      <c r="G121" s="121"/>
      <c r="H121" s="187"/>
      <c r="I121" s="156">
        <v>0</v>
      </c>
      <c r="J121" s="156">
        <v>326092</v>
      </c>
      <c r="K121" s="156">
        <v>2563</v>
      </c>
      <c r="L121" s="156">
        <v>135891</v>
      </c>
      <c r="M121" s="156">
        <v>0</v>
      </c>
      <c r="N121" s="156">
        <v>308320</v>
      </c>
      <c r="O121" s="156">
        <v>0</v>
      </c>
      <c r="P121" s="156">
        <v>0</v>
      </c>
      <c r="Q121" s="156">
        <v>0</v>
      </c>
      <c r="R121" s="156">
        <v>0</v>
      </c>
      <c r="S121" s="156">
        <v>0</v>
      </c>
      <c r="T121" s="156">
        <v>0</v>
      </c>
      <c r="U121" s="261">
        <f>SUM(I121:T121)</f>
        <v>772866</v>
      </c>
      <c r="V121" s="160"/>
      <c r="W121" s="161"/>
      <c r="X121" s="161"/>
      <c r="Y121" s="161"/>
      <c r="Z121" s="162"/>
      <c r="AA121" s="121" t="e">
        <f>+#REF!-#REF!</f>
        <v>#REF!</v>
      </c>
      <c r="AB121" s="155">
        <v>1</v>
      </c>
      <c r="AE121" s="202" t="s">
        <v>170</v>
      </c>
    </row>
    <row r="122" spans="1:34" ht="12.75" customHeight="1" x14ac:dyDescent="0.2">
      <c r="A122" s="129"/>
      <c r="E122" s="120" t="s">
        <v>171</v>
      </c>
      <c r="F122" s="121"/>
      <c r="G122" s="121"/>
      <c r="H122" s="187"/>
      <c r="I122" s="156">
        <v>1484</v>
      </c>
      <c r="J122" s="156">
        <v>387</v>
      </c>
      <c r="K122" s="156">
        <v>6637</v>
      </c>
      <c r="L122" s="156">
        <v>619</v>
      </c>
      <c r="M122" s="156">
        <v>300</v>
      </c>
      <c r="N122" s="156">
        <v>211</v>
      </c>
      <c r="O122" s="156">
        <v>0</v>
      </c>
      <c r="P122" s="156">
        <v>0</v>
      </c>
      <c r="Q122" s="156">
        <v>0</v>
      </c>
      <c r="R122" s="156">
        <v>0</v>
      </c>
      <c r="S122" s="156">
        <v>0</v>
      </c>
      <c r="T122" s="156">
        <v>0</v>
      </c>
      <c r="U122" s="261">
        <f>SUM(I122:T122)</f>
        <v>9638</v>
      </c>
      <c r="V122" s="160"/>
      <c r="W122" s="161"/>
      <c r="X122" s="161"/>
      <c r="Y122" s="161"/>
      <c r="Z122" s="162"/>
      <c r="AA122" s="121" t="e">
        <f>+#REF!-#REF!</f>
        <v>#REF!</v>
      </c>
      <c r="AB122" s="155">
        <v>0</v>
      </c>
      <c r="AE122" s="120">
        <f>+[19]CF!$E$12</f>
        <v>1248949211.9916499</v>
      </c>
      <c r="AF122" s="155" t="str">
        <f>+'[26]Current year TB'!$L$17</f>
        <v>Inland revenue</v>
      </c>
    </row>
    <row r="123" spans="1:34" ht="12.75" hidden="1" customHeight="1" x14ac:dyDescent="0.2">
      <c r="A123" s="129"/>
      <c r="E123" s="120" t="s">
        <v>172</v>
      </c>
      <c r="F123" s="121"/>
      <c r="G123" s="121"/>
      <c r="H123" s="187"/>
      <c r="I123" s="156">
        <v>0</v>
      </c>
      <c r="J123" s="156">
        <v>0</v>
      </c>
      <c r="K123" s="156">
        <v>0</v>
      </c>
      <c r="L123" s="156">
        <v>0</v>
      </c>
      <c r="M123" s="156">
        <v>0</v>
      </c>
      <c r="N123" s="156">
        <v>0</v>
      </c>
      <c r="O123" s="156">
        <v>0</v>
      </c>
      <c r="P123" s="156">
        <v>0</v>
      </c>
      <c r="Q123" s="156">
        <v>0</v>
      </c>
      <c r="R123" s="156">
        <v>0</v>
      </c>
      <c r="S123" s="156">
        <v>0</v>
      </c>
      <c r="T123" s="156">
        <v>0</v>
      </c>
      <c r="U123" s="261">
        <f t="shared" si="42"/>
        <v>0</v>
      </c>
      <c r="V123" s="160"/>
      <c r="W123" s="161"/>
      <c r="X123" s="161"/>
      <c r="Y123" s="161"/>
      <c r="Z123" s="162"/>
      <c r="AA123" s="121"/>
      <c r="AB123" s="155"/>
      <c r="AF123" s="155"/>
    </row>
    <row r="124" spans="1:34" ht="13.9" hidden="1" customHeight="1" x14ac:dyDescent="0.2">
      <c r="A124" s="129"/>
      <c r="B124" s="121"/>
      <c r="E124" s="120" t="s">
        <v>173</v>
      </c>
      <c r="F124" s="121"/>
      <c r="G124" s="121"/>
      <c r="H124" s="187"/>
      <c r="I124" s="156">
        <v>0</v>
      </c>
      <c r="J124" s="156">
        <v>0</v>
      </c>
      <c r="K124" s="156">
        <v>0</v>
      </c>
      <c r="L124" s="156">
        <v>0</v>
      </c>
      <c r="M124" s="156">
        <v>0</v>
      </c>
      <c r="N124" s="156">
        <v>0</v>
      </c>
      <c r="O124" s="156">
        <v>0</v>
      </c>
      <c r="P124" s="156">
        <v>0</v>
      </c>
      <c r="Q124" s="156">
        <v>0</v>
      </c>
      <c r="R124" s="156">
        <v>0</v>
      </c>
      <c r="S124" s="156">
        <v>0</v>
      </c>
      <c r="T124" s="156">
        <v>0</v>
      </c>
      <c r="U124" s="261">
        <f>SUM(I124:T124)</f>
        <v>0</v>
      </c>
      <c r="V124" s="160"/>
      <c r="W124" s="161"/>
      <c r="X124" s="161"/>
      <c r="Y124" s="161"/>
      <c r="Z124" s="162"/>
      <c r="AA124" s="121" t="e">
        <f>+#REF!-#REF!</f>
        <v>#REF!</v>
      </c>
      <c r="AB124" s="155">
        <v>-2069</v>
      </c>
      <c r="AE124" s="120">
        <f>+'[19]3C'!$D$53</f>
        <v>2816474</v>
      </c>
      <c r="AF124" s="120" t="s">
        <v>174</v>
      </c>
    </row>
    <row r="125" spans="1:34" ht="12.75" hidden="1" customHeight="1" x14ac:dyDescent="0.2">
      <c r="A125" s="129"/>
      <c r="B125" s="265"/>
      <c r="E125" s="120" t="s">
        <v>175</v>
      </c>
      <c r="F125" s="121"/>
      <c r="G125" s="121"/>
      <c r="H125" s="187"/>
      <c r="I125" s="156">
        <v>0</v>
      </c>
      <c r="J125" s="156">
        <v>0</v>
      </c>
      <c r="K125" s="156">
        <v>0</v>
      </c>
      <c r="L125" s="156">
        <v>0</v>
      </c>
      <c r="M125" s="156">
        <v>0</v>
      </c>
      <c r="N125" s="156">
        <v>0</v>
      </c>
      <c r="O125" s="156">
        <v>0</v>
      </c>
      <c r="P125" s="156">
        <v>0</v>
      </c>
      <c r="Q125" s="156">
        <v>0</v>
      </c>
      <c r="R125" s="156">
        <v>0</v>
      </c>
      <c r="S125" s="156">
        <v>0</v>
      </c>
      <c r="T125" s="156">
        <v>0</v>
      </c>
      <c r="U125" s="261">
        <f>SUM(I125:T125)</f>
        <v>0</v>
      </c>
      <c r="V125" s="160"/>
      <c r="W125" s="161"/>
      <c r="X125" s="161"/>
      <c r="Y125" s="161"/>
      <c r="Z125" s="162"/>
      <c r="AA125" s="121" t="e">
        <f>+#REF!-#REF!</f>
        <v>#REF!</v>
      </c>
      <c r="AB125" s="155">
        <v>0</v>
      </c>
      <c r="AE125" s="202">
        <f>SUM(AE122:AE124)</f>
        <v>1251765685.9916499</v>
      </c>
    </row>
    <row r="126" spans="1:34" ht="12.75" hidden="1" customHeight="1" x14ac:dyDescent="0.2">
      <c r="A126" s="129"/>
      <c r="B126" s="265"/>
      <c r="E126" s="120" t="s">
        <v>176</v>
      </c>
      <c r="F126" s="121"/>
      <c r="G126" s="121"/>
      <c r="H126" s="187"/>
      <c r="I126" s="156">
        <v>0</v>
      </c>
      <c r="J126" s="156">
        <v>0</v>
      </c>
      <c r="K126" s="156">
        <v>0</v>
      </c>
      <c r="L126" s="156">
        <v>0</v>
      </c>
      <c r="M126" s="156">
        <v>0</v>
      </c>
      <c r="N126" s="156">
        <v>0</v>
      </c>
      <c r="O126" s="156">
        <v>0</v>
      </c>
      <c r="P126" s="156">
        <v>0</v>
      </c>
      <c r="Q126" s="156">
        <v>0</v>
      </c>
      <c r="R126" s="156">
        <v>0</v>
      </c>
      <c r="S126" s="156">
        <v>0</v>
      </c>
      <c r="T126" s="156">
        <v>0</v>
      </c>
      <c r="U126" s="261">
        <f>SUM(I126:T126)</f>
        <v>0</v>
      </c>
      <c r="V126" s="160"/>
      <c r="W126" s="161"/>
      <c r="X126" s="161"/>
      <c r="Y126" s="161"/>
      <c r="Z126" s="162"/>
      <c r="AA126" s="121" t="e">
        <f>+#REF!-#REF!</f>
        <v>#REF!</v>
      </c>
      <c r="AB126" s="155">
        <v>0</v>
      </c>
      <c r="AE126" s="120">
        <f>+'[19]2B'!$J$80</f>
        <v>11449096</v>
      </c>
      <c r="AF126" s="120" t="s">
        <v>177</v>
      </c>
    </row>
    <row r="127" spans="1:34" ht="12.75" customHeight="1" x14ac:dyDescent="0.2">
      <c r="A127" s="129"/>
      <c r="B127" s="265"/>
      <c r="E127" s="120" t="s">
        <v>178</v>
      </c>
      <c r="F127" s="121"/>
      <c r="G127" s="121"/>
      <c r="H127" s="187"/>
      <c r="I127" s="156">
        <v>-204</v>
      </c>
      <c r="J127" s="156">
        <v>0</v>
      </c>
      <c r="K127" s="156">
        <v>0</v>
      </c>
      <c r="L127" s="156">
        <v>204</v>
      </c>
      <c r="M127" s="156">
        <v>0</v>
      </c>
      <c r="N127" s="156">
        <v>0</v>
      </c>
      <c r="O127" s="156">
        <v>0</v>
      </c>
      <c r="P127" s="156">
        <v>0</v>
      </c>
      <c r="Q127" s="156">
        <v>0</v>
      </c>
      <c r="R127" s="156">
        <v>0</v>
      </c>
      <c r="S127" s="156">
        <v>0</v>
      </c>
      <c r="T127" s="156">
        <v>0</v>
      </c>
      <c r="U127" s="261">
        <f>SUM(I127:T127)</f>
        <v>0</v>
      </c>
      <c r="V127" s="160"/>
      <c r="W127" s="161"/>
      <c r="X127" s="161"/>
      <c r="Y127" s="161"/>
      <c r="Z127" s="162"/>
      <c r="AA127" s="121" t="e">
        <f>+#REF!-#REF!</f>
        <v>#REF!</v>
      </c>
      <c r="AB127" s="155">
        <v>0</v>
      </c>
      <c r="AE127" s="120">
        <f>+'[19]2C'!$C$38</f>
        <v>11999373</v>
      </c>
      <c r="AF127" s="120" t="s">
        <v>179</v>
      </c>
    </row>
    <row r="128" spans="1:34" ht="12.75" hidden="1" customHeight="1" x14ac:dyDescent="0.2">
      <c r="A128" s="129"/>
      <c r="B128" s="265"/>
      <c r="E128" s="120" t="s">
        <v>180</v>
      </c>
      <c r="F128" s="121"/>
      <c r="G128" s="121"/>
      <c r="H128" s="187"/>
      <c r="I128" s="156">
        <v>0</v>
      </c>
      <c r="J128" s="156">
        <v>0</v>
      </c>
      <c r="K128" s="156">
        <v>0</v>
      </c>
      <c r="L128" s="156">
        <v>0</v>
      </c>
      <c r="M128" s="156">
        <v>0</v>
      </c>
      <c r="N128" s="156">
        <v>0</v>
      </c>
      <c r="O128" s="156">
        <v>0</v>
      </c>
      <c r="P128" s="156">
        <v>0</v>
      </c>
      <c r="Q128" s="156">
        <v>0</v>
      </c>
      <c r="R128" s="156">
        <v>0</v>
      </c>
      <c r="S128" s="156">
        <v>0</v>
      </c>
      <c r="T128" s="156">
        <v>0</v>
      </c>
      <c r="U128" s="261">
        <f>SUM(I128:T128)</f>
        <v>0</v>
      </c>
      <c r="V128" s="160"/>
      <c r="W128" s="161"/>
      <c r="X128" s="161"/>
      <c r="Y128" s="161"/>
      <c r="Z128" s="162"/>
      <c r="AA128" s="121" t="e">
        <f>+#REF!-#REF!</f>
        <v>#REF!</v>
      </c>
      <c r="AB128" s="155">
        <v>0</v>
      </c>
      <c r="AE128" s="120">
        <f>-'[19]Current YR TB'!$H$63/1000</f>
        <v>-136862.48671999999</v>
      </c>
      <c r="AF128" s="120" t="s">
        <v>181</v>
      </c>
    </row>
    <row r="129" spans="1:32" ht="12.75" hidden="1" customHeight="1" x14ac:dyDescent="0.2">
      <c r="A129" s="129"/>
      <c r="B129" s="121"/>
      <c r="C129" s="222"/>
      <c r="E129" s="121" t="s">
        <v>182</v>
      </c>
      <c r="F129" s="121"/>
      <c r="G129" s="121"/>
      <c r="H129" s="187"/>
      <c r="I129" s="156">
        <v>0</v>
      </c>
      <c r="J129" s="156">
        <v>0</v>
      </c>
      <c r="K129" s="156">
        <v>0</v>
      </c>
      <c r="L129" s="156">
        <v>0</v>
      </c>
      <c r="M129" s="156">
        <v>0</v>
      </c>
      <c r="N129" s="156">
        <v>0</v>
      </c>
      <c r="O129" s="156">
        <v>0</v>
      </c>
      <c r="P129" s="156">
        <v>0</v>
      </c>
      <c r="Q129" s="156">
        <v>0</v>
      </c>
      <c r="R129" s="156">
        <v>0</v>
      </c>
      <c r="S129" s="156">
        <v>0</v>
      </c>
      <c r="T129" s="156">
        <v>0</v>
      </c>
      <c r="U129" s="261">
        <f t="shared" si="42"/>
        <v>0</v>
      </c>
      <c r="V129" s="160"/>
      <c r="W129" s="161"/>
      <c r="X129" s="161"/>
      <c r="Y129" s="161"/>
      <c r="Z129" s="162"/>
      <c r="AA129" s="121" t="e">
        <f>+#REF!-#REF!</f>
        <v>#REF!</v>
      </c>
      <c r="AB129" s="155">
        <v>2069</v>
      </c>
      <c r="AE129" s="120">
        <f>+'[19]Current YR TB'!$J$63/1000</f>
        <v>167970.51280999999</v>
      </c>
      <c r="AF129" s="120" t="s">
        <v>183</v>
      </c>
    </row>
    <row r="130" spans="1:32" ht="12.75" hidden="1" customHeight="1" x14ac:dyDescent="0.2">
      <c r="A130" s="129"/>
      <c r="B130" s="121"/>
      <c r="E130" s="120" t="s">
        <v>184</v>
      </c>
      <c r="F130" s="121"/>
      <c r="G130" s="121"/>
      <c r="H130" s="187"/>
      <c r="I130" s="156">
        <v>0</v>
      </c>
      <c r="J130" s="156">
        <v>0</v>
      </c>
      <c r="K130" s="156">
        <v>0</v>
      </c>
      <c r="L130" s="156">
        <v>0</v>
      </c>
      <c r="M130" s="156">
        <v>0</v>
      </c>
      <c r="N130" s="156">
        <v>0</v>
      </c>
      <c r="O130" s="156">
        <v>0</v>
      </c>
      <c r="P130" s="156">
        <v>0</v>
      </c>
      <c r="Q130" s="156">
        <v>0</v>
      </c>
      <c r="R130" s="156">
        <v>0</v>
      </c>
      <c r="S130" s="156">
        <v>0</v>
      </c>
      <c r="T130" s="156">
        <v>0</v>
      </c>
      <c r="U130" s="261">
        <f t="shared" si="42"/>
        <v>0</v>
      </c>
      <c r="V130" s="160"/>
      <c r="W130" s="161"/>
      <c r="X130" s="161"/>
      <c r="Y130" s="161"/>
      <c r="Z130" s="162"/>
      <c r="AA130" s="121" t="e">
        <f>+#REF!-#REF!</f>
        <v>#REF!</v>
      </c>
      <c r="AB130" s="155">
        <v>-132</v>
      </c>
      <c r="AE130" s="202">
        <f>SUM(AE125:AE129)</f>
        <v>1275245263.0177398</v>
      </c>
      <c r="AF130" s="120" t="s">
        <v>185</v>
      </c>
    </row>
    <row r="131" spans="1:32" ht="12.75" hidden="1" customHeight="1" x14ac:dyDescent="0.2">
      <c r="A131" s="129"/>
      <c r="B131" s="121"/>
      <c r="E131" s="120" t="s">
        <v>186</v>
      </c>
      <c r="F131" s="121"/>
      <c r="G131" s="121"/>
      <c r="H131" s="187"/>
      <c r="I131" s="156">
        <v>0</v>
      </c>
      <c r="J131" s="156">
        <v>0</v>
      </c>
      <c r="K131" s="156">
        <v>0</v>
      </c>
      <c r="L131" s="156">
        <v>0</v>
      </c>
      <c r="M131" s="156">
        <v>0</v>
      </c>
      <c r="N131" s="156">
        <v>0</v>
      </c>
      <c r="O131" s="156">
        <v>0</v>
      </c>
      <c r="P131" s="156">
        <v>0</v>
      </c>
      <c r="Q131" s="156">
        <v>0</v>
      </c>
      <c r="R131" s="156">
        <v>0</v>
      </c>
      <c r="S131" s="156">
        <v>0</v>
      </c>
      <c r="T131" s="156">
        <v>0</v>
      </c>
      <c r="U131" s="261">
        <f t="shared" ref="U131:U137" si="44">SUM(I131:T131)</f>
        <v>0</v>
      </c>
      <c r="V131" s="160"/>
      <c r="W131" s="161"/>
      <c r="X131" s="161"/>
      <c r="Y131" s="161"/>
      <c r="Z131" s="162"/>
      <c r="AA131" s="121" t="e">
        <f>+#REF!-#REF!</f>
        <v>#REF!</v>
      </c>
      <c r="AB131" s="155">
        <v>0</v>
      </c>
    </row>
    <row r="132" spans="1:32" ht="12.75" hidden="1" customHeight="1" x14ac:dyDescent="0.2">
      <c r="A132" s="129"/>
      <c r="B132" s="121"/>
      <c r="E132" s="120" t="s">
        <v>187</v>
      </c>
      <c r="F132" s="121"/>
      <c r="G132" s="121"/>
      <c r="H132" s="187"/>
      <c r="I132" s="156">
        <v>0</v>
      </c>
      <c r="J132" s="156">
        <v>0</v>
      </c>
      <c r="K132" s="156">
        <v>0</v>
      </c>
      <c r="L132" s="156">
        <v>0</v>
      </c>
      <c r="M132" s="156">
        <v>0</v>
      </c>
      <c r="N132" s="156">
        <v>0</v>
      </c>
      <c r="O132" s="156">
        <v>0</v>
      </c>
      <c r="P132" s="156">
        <v>0</v>
      </c>
      <c r="Q132" s="156">
        <v>0</v>
      </c>
      <c r="R132" s="156">
        <v>0</v>
      </c>
      <c r="S132" s="156">
        <v>0</v>
      </c>
      <c r="T132" s="156">
        <v>0</v>
      </c>
      <c r="U132" s="261">
        <f>SUM(I132:T132)</f>
        <v>0</v>
      </c>
      <c r="V132" s="160"/>
      <c r="W132" s="161"/>
      <c r="X132" s="161"/>
      <c r="Y132" s="161"/>
      <c r="Z132" s="162"/>
      <c r="AA132" s="121" t="e">
        <f>+#REF!-#REF!</f>
        <v>#REF!</v>
      </c>
      <c r="AB132" s="155">
        <v>0</v>
      </c>
      <c r="AE132" s="120" t="e">
        <f>-#REF!</f>
        <v>#REF!</v>
      </c>
    </row>
    <row r="133" spans="1:32" ht="12.75" customHeight="1" thickBot="1" x14ac:dyDescent="0.25">
      <c r="A133" s="129"/>
      <c r="E133" s="265" t="s">
        <v>188</v>
      </c>
      <c r="F133" s="121"/>
      <c r="G133" s="121"/>
      <c r="H133" s="187"/>
      <c r="I133" s="156">
        <v>0</v>
      </c>
      <c r="J133" s="156">
        <v>0</v>
      </c>
      <c r="K133" s="156">
        <v>0</v>
      </c>
      <c r="L133" s="156">
        <v>0</v>
      </c>
      <c r="M133" s="156">
        <v>209625</v>
      </c>
      <c r="N133" s="156">
        <v>0</v>
      </c>
      <c r="O133" s="156">
        <v>0</v>
      </c>
      <c r="P133" s="156">
        <v>0</v>
      </c>
      <c r="Q133" s="156">
        <v>0</v>
      </c>
      <c r="R133" s="156">
        <v>0</v>
      </c>
      <c r="S133" s="156">
        <v>0</v>
      </c>
      <c r="T133" s="156">
        <v>0</v>
      </c>
      <c r="U133" s="221">
        <f>SUM(I133:T133)</f>
        <v>209625</v>
      </c>
      <c r="V133" s="160"/>
      <c r="W133" s="161"/>
      <c r="X133" s="161"/>
      <c r="Y133" s="161"/>
      <c r="Z133" s="162"/>
      <c r="AA133" s="121" t="e">
        <f>+#REF!-#REF!</f>
        <v>#REF!</v>
      </c>
      <c r="AB133" s="155">
        <v>532404</v>
      </c>
      <c r="AE133" s="266" t="e">
        <f>SUM(AE130:AE132)</f>
        <v>#REF!</v>
      </c>
    </row>
    <row r="134" spans="1:32" ht="12.75" hidden="1" customHeight="1" x14ac:dyDescent="0.2">
      <c r="A134" s="129"/>
      <c r="B134" s="265"/>
      <c r="E134" s="120" t="s">
        <v>189</v>
      </c>
      <c r="F134" s="121"/>
      <c r="G134" s="121"/>
      <c r="H134" s="187"/>
      <c r="I134" s="156">
        <v>0</v>
      </c>
      <c r="J134" s="156">
        <v>0</v>
      </c>
      <c r="K134" s="156">
        <v>0</v>
      </c>
      <c r="L134" s="156">
        <v>0</v>
      </c>
      <c r="M134" s="156">
        <v>0</v>
      </c>
      <c r="N134" s="156">
        <v>0</v>
      </c>
      <c r="O134" s="156">
        <v>0</v>
      </c>
      <c r="P134" s="156">
        <v>0</v>
      </c>
      <c r="Q134" s="156">
        <v>0</v>
      </c>
      <c r="R134" s="156">
        <v>0</v>
      </c>
      <c r="S134" s="156">
        <v>0</v>
      </c>
      <c r="T134" s="156">
        <v>0</v>
      </c>
      <c r="U134" s="261">
        <f t="shared" si="44"/>
        <v>0</v>
      </c>
      <c r="V134" s="160"/>
      <c r="W134" s="161"/>
      <c r="X134" s="161"/>
      <c r="Y134" s="161"/>
      <c r="Z134" s="162"/>
      <c r="AA134" s="121" t="e">
        <f>+#REF!-#REF!</f>
        <v>#REF!</v>
      </c>
      <c r="AB134" s="155">
        <v>0</v>
      </c>
    </row>
    <row r="135" spans="1:32" ht="12.75" hidden="1" customHeight="1" thickTop="1" x14ac:dyDescent="0.2">
      <c r="A135" s="129"/>
      <c r="B135" s="265"/>
      <c r="E135" s="120" t="s">
        <v>190</v>
      </c>
      <c r="F135" s="121"/>
      <c r="G135" s="121"/>
      <c r="H135" s="187"/>
      <c r="I135" s="156">
        <v>0</v>
      </c>
      <c r="J135" s="156">
        <v>0</v>
      </c>
      <c r="K135" s="156">
        <v>0</v>
      </c>
      <c r="L135" s="156">
        <v>0</v>
      </c>
      <c r="M135" s="156">
        <v>0</v>
      </c>
      <c r="N135" s="156">
        <v>0</v>
      </c>
      <c r="O135" s="156">
        <v>0</v>
      </c>
      <c r="P135" s="156">
        <v>0</v>
      </c>
      <c r="Q135" s="156">
        <v>0</v>
      </c>
      <c r="R135" s="156">
        <v>0</v>
      </c>
      <c r="S135" s="156">
        <v>0</v>
      </c>
      <c r="T135" s="156">
        <v>0</v>
      </c>
      <c r="U135" s="261">
        <f t="shared" ref="U135" si="45">SUM(I135:T135)</f>
        <v>0</v>
      </c>
      <c r="V135" s="160"/>
      <c r="W135" s="161"/>
      <c r="X135" s="161"/>
      <c r="Y135" s="161"/>
      <c r="Z135" s="162"/>
      <c r="AA135" s="121" t="e">
        <f>+#REF!-#REF!</f>
        <v>#REF!</v>
      </c>
      <c r="AB135" s="155">
        <v>0</v>
      </c>
      <c r="AE135" s="120" t="e">
        <f>+#REF!</f>
        <v>#REF!</v>
      </c>
    </row>
    <row r="136" spans="1:32" ht="12.75" hidden="1" customHeight="1" thickTop="1" x14ac:dyDescent="0.2">
      <c r="A136" s="129"/>
      <c r="B136" s="265"/>
      <c r="E136" s="120" t="s">
        <v>191</v>
      </c>
      <c r="F136" s="121"/>
      <c r="G136" s="121"/>
      <c r="H136" s="187"/>
      <c r="I136" s="156">
        <v>0</v>
      </c>
      <c r="J136" s="156">
        <v>0</v>
      </c>
      <c r="K136" s="156">
        <v>0</v>
      </c>
      <c r="L136" s="156">
        <v>0</v>
      </c>
      <c r="M136" s="156">
        <v>0</v>
      </c>
      <c r="N136" s="156">
        <v>0</v>
      </c>
      <c r="O136" s="156">
        <v>0</v>
      </c>
      <c r="P136" s="156">
        <v>0</v>
      </c>
      <c r="Q136" s="156">
        <v>0</v>
      </c>
      <c r="R136" s="156">
        <v>0</v>
      </c>
      <c r="S136" s="156">
        <v>0</v>
      </c>
      <c r="T136" s="156">
        <v>0</v>
      </c>
      <c r="U136" s="261">
        <f>SUM(I136:T136)</f>
        <v>0</v>
      </c>
      <c r="V136" s="160"/>
      <c r="W136" s="161"/>
      <c r="X136" s="161"/>
      <c r="Y136" s="161"/>
      <c r="Z136" s="162"/>
      <c r="AA136" s="121" t="e">
        <f>+#REF!-#REF!</f>
        <v>#REF!</v>
      </c>
      <c r="AB136" s="155">
        <v>0</v>
      </c>
    </row>
    <row r="137" spans="1:32" ht="13.5" hidden="1" thickTop="1" x14ac:dyDescent="0.2">
      <c r="A137" s="701" t="s">
        <v>192</v>
      </c>
      <c r="B137" s="702"/>
      <c r="C137" s="702"/>
      <c r="D137" s="702"/>
      <c r="E137" s="702"/>
      <c r="F137" s="702"/>
      <c r="G137" s="703"/>
      <c r="H137" s="187"/>
      <c r="I137" s="156">
        <v>0</v>
      </c>
      <c r="J137" s="156">
        <v>0</v>
      </c>
      <c r="K137" s="156">
        <v>0</v>
      </c>
      <c r="L137" s="156">
        <v>0</v>
      </c>
      <c r="M137" s="156">
        <v>0</v>
      </c>
      <c r="N137" s="156">
        <v>0</v>
      </c>
      <c r="O137" s="156">
        <v>0</v>
      </c>
      <c r="P137" s="156">
        <v>0</v>
      </c>
      <c r="Q137" s="156">
        <v>0</v>
      </c>
      <c r="R137" s="156">
        <v>0</v>
      </c>
      <c r="S137" s="156">
        <v>0</v>
      </c>
      <c r="T137" s="156">
        <v>0</v>
      </c>
      <c r="U137" s="261">
        <f t="shared" si="44"/>
        <v>0</v>
      </c>
      <c r="V137" s="160"/>
      <c r="W137" s="161"/>
      <c r="X137" s="161"/>
      <c r="Y137" s="161"/>
      <c r="Z137" s="162"/>
      <c r="AA137" s="121" t="e">
        <f>+#REF!-#REF!</f>
        <v>#REF!</v>
      </c>
      <c r="AB137" s="155">
        <v>-0.20000000000000284</v>
      </c>
    </row>
    <row r="138" spans="1:32" ht="12.75" customHeight="1" thickTop="1" x14ac:dyDescent="0.2">
      <c r="A138" s="129" t="s">
        <v>193</v>
      </c>
      <c r="B138" s="121"/>
      <c r="C138" s="121"/>
      <c r="D138" s="121"/>
      <c r="E138" s="121"/>
      <c r="F138" s="121"/>
      <c r="G138" s="190"/>
      <c r="H138" s="157">
        <v>44073265.077949993</v>
      </c>
      <c r="I138" s="156">
        <v>2558272.5997100002</v>
      </c>
      <c r="J138" s="156">
        <v>1599970.9169700001</v>
      </c>
      <c r="K138" s="156">
        <v>1260801.7249700001</v>
      </c>
      <c r="L138" s="156">
        <v>2357605.6139199999</v>
      </c>
      <c r="M138" s="156">
        <v>3646053.3910400001</v>
      </c>
      <c r="N138" s="156">
        <v>5159495.2959899995</v>
      </c>
      <c r="O138" s="156">
        <v>0</v>
      </c>
      <c r="P138" s="156">
        <v>0</v>
      </c>
      <c r="Q138" s="156">
        <v>0</v>
      </c>
      <c r="R138" s="156">
        <v>0</v>
      </c>
      <c r="S138" s="260">
        <v>0</v>
      </c>
      <c r="T138" s="260">
        <v>0</v>
      </c>
      <c r="U138" s="261">
        <f>SUM(I138:T138)</f>
        <v>16582199.5426</v>
      </c>
      <c r="V138" s="160"/>
      <c r="W138" s="161"/>
      <c r="X138" s="161"/>
      <c r="Y138" s="161"/>
      <c r="Z138" s="162"/>
      <c r="AA138" s="121" t="e">
        <f>+#REF!-#REF!</f>
        <v>#REF!</v>
      </c>
      <c r="AB138" s="155">
        <v>-2.6400089263916016E-3</v>
      </c>
      <c r="AD138" s="202"/>
    </row>
    <row r="139" spans="1:32" ht="12.75" customHeight="1" x14ac:dyDescent="0.2">
      <c r="A139" s="267" t="s">
        <v>194</v>
      </c>
      <c r="B139" s="268"/>
      <c r="C139" s="268"/>
      <c r="D139" s="268"/>
      <c r="E139" s="268"/>
      <c r="F139" s="268"/>
      <c r="G139" s="268"/>
      <c r="H139" s="269">
        <v>19375891.23875</v>
      </c>
      <c r="I139" s="270">
        <v>1443405.03764</v>
      </c>
      <c r="J139" s="270">
        <v>1326166.2971099999</v>
      </c>
      <c r="K139" s="270">
        <v>1291739.155</v>
      </c>
      <c r="L139" s="270">
        <v>1457469.74217</v>
      </c>
      <c r="M139" s="270">
        <v>1549732.60968</v>
      </c>
      <c r="N139" s="270">
        <v>1578687.52061</v>
      </c>
      <c r="O139" s="270">
        <v>0</v>
      </c>
      <c r="P139" s="270">
        <v>0</v>
      </c>
      <c r="Q139" s="270">
        <v>0</v>
      </c>
      <c r="R139" s="270">
        <v>0</v>
      </c>
      <c r="S139" s="269">
        <v>0</v>
      </c>
      <c r="T139" s="269">
        <v>0</v>
      </c>
      <c r="U139" s="271">
        <f>SUM(I139:T139)</f>
        <v>8647200.3622099999</v>
      </c>
      <c r="V139" s="160"/>
      <c r="W139" s="161"/>
      <c r="X139" s="161"/>
      <c r="Y139" s="161"/>
      <c r="Z139" s="162"/>
      <c r="AA139" s="121" t="e">
        <f>+#REF!-#REF!</f>
        <v>#REF!</v>
      </c>
      <c r="AB139" s="155">
        <v>-0.37992999702692032</v>
      </c>
    </row>
    <row r="140" spans="1:32" ht="12.75" customHeight="1" x14ac:dyDescent="0.2">
      <c r="A140" s="197" t="s">
        <v>195</v>
      </c>
      <c r="B140" s="121"/>
      <c r="C140" s="121"/>
      <c r="D140" s="121"/>
      <c r="E140" s="121"/>
      <c r="F140" s="121"/>
      <c r="G140" s="121"/>
      <c r="H140" s="171"/>
      <c r="I140" s="169">
        <f>+I116+I117+I120+I137+I138+I139</f>
        <v>67582916.620230004</v>
      </c>
      <c r="J140" s="169">
        <f t="shared" ref="J140:U140" si="46">+J116+J117+J120+J137+J138+J139</f>
        <v>71935965.036200017</v>
      </c>
      <c r="K140" s="169">
        <f t="shared" si="46"/>
        <v>111119018.19630001</v>
      </c>
      <c r="L140" s="169">
        <f t="shared" si="46"/>
        <v>66546355.865609996</v>
      </c>
      <c r="M140" s="169">
        <f t="shared" si="46"/>
        <v>106920604.21582998</v>
      </c>
      <c r="N140" s="169">
        <f t="shared" si="46"/>
        <v>112870202.75457998</v>
      </c>
      <c r="O140" s="169">
        <f t="shared" si="46"/>
        <v>0</v>
      </c>
      <c r="P140" s="169">
        <f t="shared" si="46"/>
        <v>0</v>
      </c>
      <c r="Q140" s="169">
        <f t="shared" si="46"/>
        <v>0</v>
      </c>
      <c r="R140" s="169">
        <f t="shared" si="46"/>
        <v>0</v>
      </c>
      <c r="S140" s="169">
        <f t="shared" si="46"/>
        <v>0</v>
      </c>
      <c r="T140" s="169">
        <f t="shared" si="46"/>
        <v>0</v>
      </c>
      <c r="U140" s="230">
        <f t="shared" si="46"/>
        <v>536975062.68874991</v>
      </c>
      <c r="V140" s="251"/>
      <c r="W140" s="252"/>
      <c r="X140" s="252"/>
      <c r="Y140" s="252"/>
      <c r="Z140" s="162"/>
      <c r="AA140" s="121" t="e">
        <f>+#REF!-#REF!</f>
        <v>#REF!</v>
      </c>
      <c r="AB140" s="155">
        <v>-644823.67811989784</v>
      </c>
    </row>
    <row r="141" spans="1:32" ht="12.75" customHeight="1" x14ac:dyDescent="0.2">
      <c r="A141" s="129" t="s">
        <v>196</v>
      </c>
      <c r="B141" s="121"/>
      <c r="C141" s="121"/>
      <c r="D141" s="121"/>
      <c r="E141" s="121"/>
      <c r="F141" s="121"/>
      <c r="G141" s="231"/>
      <c r="H141" s="187"/>
      <c r="I141" s="156">
        <v>16415</v>
      </c>
      <c r="J141" s="156">
        <v>3123</v>
      </c>
      <c r="K141" s="156">
        <v>-12025</v>
      </c>
      <c r="L141" s="156">
        <v>13620</v>
      </c>
      <c r="M141" s="156">
        <v>-26756</v>
      </c>
      <c r="N141" s="156">
        <v>15209</v>
      </c>
      <c r="O141" s="156">
        <v>0</v>
      </c>
      <c r="P141" s="156">
        <v>0</v>
      </c>
      <c r="Q141" s="156">
        <v>0</v>
      </c>
      <c r="R141" s="156">
        <v>0</v>
      </c>
      <c r="S141" s="260">
        <v>0</v>
      </c>
      <c r="T141" s="260">
        <v>0</v>
      </c>
      <c r="U141" s="261">
        <f>SUM(I141:T141)</f>
        <v>9586</v>
      </c>
      <c r="V141" s="160"/>
      <c r="W141" s="161"/>
      <c r="X141" s="161"/>
      <c r="Y141" s="161"/>
      <c r="Z141" s="162"/>
      <c r="AA141" s="121" t="e">
        <f>+#REF!-#REF!</f>
        <v>#REF!</v>
      </c>
      <c r="AB141" s="155">
        <v>-21</v>
      </c>
      <c r="AE141" s="202"/>
    </row>
    <row r="142" spans="1:32" ht="12.75" hidden="1" customHeight="1" x14ac:dyDescent="0.2">
      <c r="A142" s="701" t="s">
        <v>197</v>
      </c>
      <c r="B142" s="702"/>
      <c r="C142" s="702"/>
      <c r="D142" s="702"/>
      <c r="E142" s="702"/>
      <c r="F142" s="702"/>
      <c r="G142" s="703"/>
      <c r="H142" s="187"/>
      <c r="I142" s="156">
        <v>0</v>
      </c>
      <c r="J142" s="156">
        <v>0</v>
      </c>
      <c r="K142" s="156">
        <v>0</v>
      </c>
      <c r="L142" s="156">
        <v>0</v>
      </c>
      <c r="M142" s="156">
        <v>0</v>
      </c>
      <c r="N142" s="156">
        <v>0</v>
      </c>
      <c r="O142" s="156">
        <v>0</v>
      </c>
      <c r="P142" s="156">
        <v>0</v>
      </c>
      <c r="Q142" s="156">
        <v>0</v>
      </c>
      <c r="R142" s="156">
        <v>0</v>
      </c>
      <c r="S142" s="260">
        <v>0</v>
      </c>
      <c r="T142" s="260">
        <v>0</v>
      </c>
      <c r="U142" s="261">
        <f>SUM(I142:T142)</f>
        <v>0</v>
      </c>
      <c r="V142" s="160"/>
      <c r="W142" s="161"/>
      <c r="X142" s="161"/>
      <c r="Y142" s="161"/>
      <c r="Z142" s="162"/>
      <c r="AA142" s="121" t="e">
        <f>+#REF!-#REF!</f>
        <v>#REF!</v>
      </c>
      <c r="AB142" s="155">
        <v>0</v>
      </c>
    </row>
    <row r="143" spans="1:32" ht="12.75" customHeight="1" x14ac:dyDescent="0.2">
      <c r="A143" s="129" t="s">
        <v>198</v>
      </c>
      <c r="B143" s="121"/>
      <c r="C143" s="121"/>
      <c r="D143" s="121"/>
      <c r="E143" s="121"/>
      <c r="F143" s="121"/>
      <c r="G143" s="121"/>
      <c r="H143" s="187"/>
      <c r="I143" s="156">
        <v>-3770745</v>
      </c>
      <c r="J143" s="156">
        <v>-2558273</v>
      </c>
      <c r="K143" s="156">
        <v>-1599971</v>
      </c>
      <c r="L143" s="156">
        <v>-1260802</v>
      </c>
      <c r="M143" s="156">
        <v>-2357606</v>
      </c>
      <c r="N143" s="156">
        <v>-3646053</v>
      </c>
      <c r="O143" s="156">
        <v>0</v>
      </c>
      <c r="P143" s="156">
        <v>0</v>
      </c>
      <c r="Q143" s="156">
        <v>0</v>
      </c>
      <c r="R143" s="156">
        <v>0</v>
      </c>
      <c r="S143" s="260">
        <v>0</v>
      </c>
      <c r="T143" s="260">
        <v>0</v>
      </c>
      <c r="U143" s="261">
        <f t="shared" ref="U143:U145" si="47">SUM(I143:T143)</f>
        <v>-15193450</v>
      </c>
      <c r="V143" s="160"/>
      <c r="W143" s="161"/>
      <c r="X143" s="161"/>
      <c r="Y143" s="161"/>
      <c r="Z143" s="162"/>
      <c r="AA143" s="121" t="e">
        <f>+#REF!-#REF!</f>
        <v>#REF!</v>
      </c>
      <c r="AB143" s="155">
        <v>0</v>
      </c>
      <c r="AE143" s="202"/>
    </row>
    <row r="144" spans="1:32" ht="12.75" customHeight="1" x14ac:dyDescent="0.2">
      <c r="A144" s="129" t="s">
        <v>199</v>
      </c>
      <c r="B144" s="121"/>
      <c r="C144" s="121"/>
      <c r="D144" s="121"/>
      <c r="E144" s="121"/>
      <c r="F144" s="121"/>
      <c r="G144" s="121"/>
      <c r="H144" s="187"/>
      <c r="I144" s="156">
        <v>-1895789</v>
      </c>
      <c r="J144" s="156">
        <v>-1443405</v>
      </c>
      <c r="K144" s="156">
        <v>-1326166</v>
      </c>
      <c r="L144" s="156">
        <v>-1291739</v>
      </c>
      <c r="M144" s="156">
        <v>-1457470</v>
      </c>
      <c r="N144" s="156">
        <v>-1549733</v>
      </c>
      <c r="O144" s="156">
        <v>0</v>
      </c>
      <c r="P144" s="156">
        <v>0</v>
      </c>
      <c r="Q144" s="156">
        <v>0</v>
      </c>
      <c r="R144" s="156">
        <v>0</v>
      </c>
      <c r="S144" s="260">
        <v>0</v>
      </c>
      <c r="T144" s="260">
        <v>0</v>
      </c>
      <c r="U144" s="261">
        <f t="shared" si="47"/>
        <v>-8964302</v>
      </c>
      <c r="V144" s="160"/>
      <c r="W144" s="161"/>
      <c r="X144" s="161"/>
      <c r="Y144" s="161"/>
      <c r="Z144" s="162"/>
      <c r="AA144" s="121" t="e">
        <f>+#REF!-#REF!</f>
        <v>#REF!</v>
      </c>
      <c r="AB144" s="155">
        <v>0</v>
      </c>
    </row>
    <row r="145" spans="1:40" ht="12.75" customHeight="1" x14ac:dyDescent="0.2">
      <c r="A145" s="704" t="s">
        <v>200</v>
      </c>
      <c r="B145" s="705"/>
      <c r="C145" s="705"/>
      <c r="D145" s="705"/>
      <c r="E145" s="705"/>
      <c r="F145" s="705"/>
      <c r="G145" s="706"/>
      <c r="H145" s="269"/>
      <c r="I145" s="156">
        <f>350-50000</f>
        <v>-49650</v>
      </c>
      <c r="J145" s="156">
        <v>32382</v>
      </c>
      <c r="K145" s="156">
        <f>1320-1380-2300</f>
        <v>-2360</v>
      </c>
      <c r="L145" s="156">
        <v>18537</v>
      </c>
      <c r="M145" s="156">
        <v>1744</v>
      </c>
      <c r="N145" s="156">
        <f>1048-1802</f>
        <v>-754</v>
      </c>
      <c r="O145" s="156">
        <v>0</v>
      </c>
      <c r="P145" s="156">
        <v>0</v>
      </c>
      <c r="Q145" s="156">
        <v>0</v>
      </c>
      <c r="R145" s="156">
        <v>0</v>
      </c>
      <c r="S145" s="260">
        <v>0</v>
      </c>
      <c r="T145" s="260">
        <v>0</v>
      </c>
      <c r="U145" s="261">
        <f t="shared" si="47"/>
        <v>-101</v>
      </c>
      <c r="V145" s="160"/>
      <c r="W145" s="161"/>
      <c r="X145" s="161"/>
      <c r="Y145" s="161"/>
      <c r="Z145" s="162"/>
      <c r="AA145" s="121" t="e">
        <f>+#REF!-#REF!</f>
        <v>#REF!</v>
      </c>
      <c r="AB145" s="155">
        <v>0</v>
      </c>
    </row>
    <row r="146" spans="1:40" ht="12.75" customHeight="1" x14ac:dyDescent="0.2">
      <c r="A146" s="241" t="s">
        <v>201</v>
      </c>
      <c r="B146" s="211"/>
      <c r="C146" s="211"/>
      <c r="D146" s="211"/>
      <c r="E146" s="211"/>
      <c r="F146" s="211"/>
      <c r="G146" s="213"/>
      <c r="H146" s="242"/>
      <c r="I146" s="242">
        <f t="shared" ref="I146" si="48">SUM(I140:I145)</f>
        <v>61883147.620230004</v>
      </c>
      <c r="J146" s="242">
        <f t="shared" ref="J146:T146" si="49">SUM(J140:J145)</f>
        <v>67969792.036200017</v>
      </c>
      <c r="K146" s="242">
        <f t="shared" si="49"/>
        <v>108178496.19630001</v>
      </c>
      <c r="L146" s="242">
        <f t="shared" si="49"/>
        <v>64025971.865609996</v>
      </c>
      <c r="M146" s="242">
        <f t="shared" si="49"/>
        <v>103080516.21582998</v>
      </c>
      <c r="N146" s="242">
        <f t="shared" si="49"/>
        <v>107688871.75457998</v>
      </c>
      <c r="O146" s="242">
        <f t="shared" si="49"/>
        <v>0</v>
      </c>
      <c r="P146" s="242">
        <f t="shared" si="49"/>
        <v>0</v>
      </c>
      <c r="Q146" s="242">
        <f t="shared" si="49"/>
        <v>0</v>
      </c>
      <c r="R146" s="242">
        <f t="shared" si="49"/>
        <v>0</v>
      </c>
      <c r="S146" s="242">
        <f t="shared" si="49"/>
        <v>0</v>
      </c>
      <c r="T146" s="242">
        <f t="shared" si="49"/>
        <v>0</v>
      </c>
      <c r="U146" s="243">
        <f>SUM(U140:U145)</f>
        <v>512826795.68874991</v>
      </c>
      <c r="V146" s="197"/>
      <c r="W146" s="130"/>
      <c r="X146" s="130"/>
      <c r="Y146" s="130"/>
      <c r="Z146" s="162"/>
      <c r="AA146" s="121" t="e">
        <f>+#REF!-#REF!</f>
        <v>#REF!</v>
      </c>
      <c r="AB146" s="155">
        <v>-644843.67811989784</v>
      </c>
    </row>
    <row r="147" spans="1:40" s="273" customFormat="1" ht="12.75" customHeight="1" x14ac:dyDescent="0.2">
      <c r="A147" s="707" t="s">
        <v>202</v>
      </c>
      <c r="B147" s="707"/>
      <c r="C147" s="707"/>
      <c r="D147" s="707"/>
      <c r="E147" s="707"/>
      <c r="F147" s="707"/>
      <c r="G147" s="707"/>
      <c r="H147" s="707"/>
      <c r="I147" s="707"/>
      <c r="J147" s="707"/>
      <c r="K147" s="707"/>
      <c r="L147" s="707"/>
      <c r="M147" s="707"/>
      <c r="N147" s="707"/>
      <c r="O147" s="707"/>
      <c r="P147" s="707"/>
      <c r="Q147" s="707"/>
      <c r="R147" s="707"/>
      <c r="S147" s="707"/>
      <c r="T147" s="707"/>
      <c r="U147" s="707"/>
      <c r="V147" s="272"/>
      <c r="W147" s="272"/>
      <c r="X147" s="272"/>
      <c r="Y147" s="272"/>
      <c r="AD147" s="120"/>
      <c r="AE147" s="120"/>
      <c r="AF147" s="120"/>
    </row>
    <row r="148" spans="1:40" ht="12.75" customHeight="1" x14ac:dyDescent="0.2">
      <c r="A148" s="695" t="s">
        <v>203</v>
      </c>
      <c r="B148" s="695"/>
      <c r="C148" s="695"/>
      <c r="D148" s="695"/>
      <c r="E148" s="695"/>
      <c r="F148" s="695"/>
      <c r="G148" s="695"/>
      <c r="H148" s="695"/>
      <c r="I148" s="695"/>
      <c r="J148" s="695"/>
      <c r="K148" s="695"/>
      <c r="L148" s="695"/>
      <c r="M148" s="695"/>
      <c r="N148" s="695"/>
      <c r="O148" s="695"/>
      <c r="P148" s="695"/>
      <c r="Q148" s="695"/>
      <c r="R148" s="695"/>
      <c r="S148" s="695"/>
      <c r="T148" s="695"/>
      <c r="U148" s="695"/>
      <c r="V148" s="273"/>
      <c r="W148" s="273"/>
      <c r="X148" s="273"/>
      <c r="Y148" s="273"/>
      <c r="Z148" s="273"/>
      <c r="AA148" s="121"/>
      <c r="AB148" s="121"/>
      <c r="AE148" s="273"/>
      <c r="AF148" s="155"/>
    </row>
    <row r="149" spans="1:40" ht="12.75" customHeight="1" x14ac:dyDescent="0.2">
      <c r="A149" s="695" t="s">
        <v>204</v>
      </c>
      <c r="B149" s="695"/>
      <c r="C149" s="695"/>
      <c r="D149" s="695"/>
      <c r="E149" s="695"/>
      <c r="F149" s="695"/>
      <c r="G149" s="695"/>
      <c r="H149" s="695"/>
      <c r="I149" s="695"/>
      <c r="J149" s="695"/>
      <c r="K149" s="695"/>
      <c r="L149" s="695"/>
      <c r="M149" s="695"/>
      <c r="N149" s="695"/>
      <c r="O149" s="695"/>
      <c r="P149" s="695"/>
      <c r="Q149" s="695"/>
      <c r="R149" s="695"/>
      <c r="S149" s="695"/>
      <c r="T149" s="695"/>
      <c r="U149" s="695"/>
      <c r="V149" s="273"/>
      <c r="W149" s="273"/>
      <c r="X149" s="273"/>
      <c r="Y149" s="273"/>
      <c r="Z149" s="149"/>
      <c r="AA149" s="149"/>
      <c r="AB149" s="149"/>
      <c r="AC149" s="149"/>
      <c r="AE149" s="273"/>
    </row>
    <row r="150" spans="1:40" ht="12.75" customHeight="1" x14ac:dyDescent="0.2">
      <c r="A150" s="695" t="s">
        <v>205</v>
      </c>
      <c r="B150" s="695"/>
      <c r="C150" s="695"/>
      <c r="D150" s="695"/>
      <c r="E150" s="695"/>
      <c r="F150" s="695"/>
      <c r="G150" s="695"/>
      <c r="H150" s="695"/>
      <c r="I150" s="695"/>
      <c r="J150" s="695"/>
      <c r="K150" s="695"/>
      <c r="L150" s="695"/>
      <c r="M150" s="695"/>
      <c r="N150" s="695"/>
      <c r="O150" s="695"/>
      <c r="P150" s="695"/>
      <c r="Q150" s="695"/>
      <c r="R150" s="695"/>
      <c r="S150" s="695"/>
      <c r="T150" s="695"/>
      <c r="U150" s="695"/>
      <c r="V150" s="273"/>
      <c r="W150" s="273"/>
      <c r="X150" s="273"/>
      <c r="Y150" s="273"/>
      <c r="Z150" s="148"/>
      <c r="AA150" s="148"/>
      <c r="AB150" s="148"/>
      <c r="AC150" s="148"/>
    </row>
    <row r="151" spans="1:40" ht="12.75" customHeight="1" x14ac:dyDescent="0.2">
      <c r="A151" s="695" t="s">
        <v>206</v>
      </c>
      <c r="B151" s="695"/>
      <c r="C151" s="695"/>
      <c r="D151" s="695"/>
      <c r="E151" s="695"/>
      <c r="F151" s="695"/>
      <c r="G151" s="695"/>
      <c r="H151" s="695"/>
      <c r="I151" s="695"/>
      <c r="J151" s="695"/>
      <c r="K151" s="695"/>
      <c r="L151" s="695"/>
      <c r="M151" s="695"/>
      <c r="N151" s="695"/>
      <c r="O151" s="695"/>
      <c r="P151" s="695"/>
      <c r="Q151" s="695"/>
      <c r="R151" s="695"/>
      <c r="S151" s="695"/>
      <c r="T151" s="695"/>
      <c r="U151" s="695"/>
      <c r="V151" s="273"/>
      <c r="W151" s="273"/>
      <c r="X151" s="273"/>
      <c r="Y151" s="273"/>
    </row>
    <row r="152" spans="1:40" ht="12.75" customHeight="1" x14ac:dyDescent="0.2">
      <c r="A152" s="273" t="s">
        <v>207</v>
      </c>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row>
    <row r="153" spans="1:40" ht="12.75" customHeight="1" x14ac:dyDescent="0.2">
      <c r="A153" s="695" t="s">
        <v>208</v>
      </c>
      <c r="B153" s="695"/>
      <c r="C153" s="695"/>
      <c r="D153" s="695"/>
      <c r="E153" s="695"/>
      <c r="F153" s="695"/>
      <c r="G153" s="695"/>
      <c r="H153" s="695"/>
      <c r="I153" s="695"/>
      <c r="J153" s="695"/>
      <c r="K153" s="695"/>
      <c r="L153" s="695"/>
      <c r="M153" s="695"/>
      <c r="N153" s="695"/>
      <c r="O153" s="695"/>
      <c r="P153" s="695"/>
      <c r="Q153" s="695"/>
      <c r="R153" s="695"/>
      <c r="S153" s="695"/>
      <c r="T153" s="695"/>
      <c r="U153" s="695"/>
      <c r="V153" s="273"/>
      <c r="W153" s="273"/>
      <c r="X153" s="273"/>
      <c r="Y153" s="273"/>
    </row>
    <row r="154" spans="1:40" ht="12.75" customHeight="1" x14ac:dyDescent="0.2">
      <c r="A154" s="273"/>
      <c r="B154" s="273"/>
      <c r="C154" s="273"/>
      <c r="D154" s="273"/>
      <c r="E154" s="274"/>
      <c r="F154" s="273"/>
      <c r="G154" s="273"/>
      <c r="I154" s="273"/>
      <c r="J154" s="273"/>
      <c r="K154" s="273"/>
      <c r="L154" s="273"/>
      <c r="M154" s="273"/>
      <c r="N154" s="273"/>
      <c r="O154" s="273"/>
      <c r="P154" s="273"/>
      <c r="Q154" s="273"/>
      <c r="R154" s="273"/>
      <c r="S154" s="273"/>
      <c r="T154" s="273"/>
      <c r="V154" s="149"/>
      <c r="W154" s="149"/>
      <c r="X154" s="149"/>
      <c r="Y154" s="149"/>
    </row>
    <row r="155" spans="1:40" ht="12.75" customHeight="1" x14ac:dyDescent="0.2">
      <c r="A155" s="155"/>
      <c r="B155" s="155"/>
      <c r="C155" s="155"/>
      <c r="E155" s="155"/>
      <c r="F155" s="121"/>
      <c r="G155" s="121"/>
      <c r="H155" s="121"/>
      <c r="I155" s="121"/>
      <c r="J155" s="121"/>
      <c r="K155" s="121"/>
      <c r="L155" s="121"/>
      <c r="M155" s="121"/>
      <c r="N155" s="121"/>
      <c r="O155" s="121"/>
      <c r="P155" s="121"/>
      <c r="Q155" s="121"/>
      <c r="R155" s="121"/>
      <c r="S155" s="121"/>
      <c r="T155" s="121"/>
      <c r="U155" s="121"/>
      <c r="V155" s="121"/>
      <c r="W155" s="121"/>
      <c r="X155" s="121"/>
      <c r="Y155" s="121"/>
      <c r="Z155" s="149"/>
      <c r="AA155" s="121"/>
      <c r="AB155" s="121"/>
    </row>
    <row r="156" spans="1:40" s="273" customFormat="1" ht="12.6" customHeight="1" x14ac:dyDescent="0.2"/>
    <row r="157" spans="1:40" s="121" customFormat="1" ht="12.75" customHeight="1" x14ac:dyDescent="0.2">
      <c r="AD157" s="272"/>
      <c r="AE157" s="272"/>
    </row>
    <row r="158" spans="1:40" s="121" customFormat="1" ht="12.75" customHeight="1" x14ac:dyDescent="0.2">
      <c r="H158" s="130"/>
      <c r="I158" s="130"/>
      <c r="J158" s="130"/>
      <c r="K158" s="130"/>
      <c r="L158" s="130"/>
      <c r="M158" s="130"/>
      <c r="N158" s="130"/>
      <c r="O158" s="130"/>
      <c r="P158" s="130"/>
      <c r="Q158" s="130"/>
      <c r="R158" s="130"/>
      <c r="S158" s="130"/>
      <c r="T158" s="130"/>
      <c r="U158" s="130"/>
      <c r="V158" s="130"/>
      <c r="W158" s="130"/>
      <c r="X158" s="130"/>
      <c r="Y158" s="130"/>
      <c r="AD158" s="272"/>
      <c r="AE158" s="272"/>
    </row>
    <row r="159" spans="1:40" s="121" customFormat="1" ht="12.75" customHeight="1" x14ac:dyDescent="0.2">
      <c r="H159" s="143"/>
      <c r="I159" s="143"/>
      <c r="J159" s="143"/>
      <c r="K159" s="143"/>
      <c r="L159" s="143"/>
      <c r="M159" s="143"/>
      <c r="N159" s="143"/>
      <c r="O159" s="130"/>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row>
    <row r="160" spans="1:40" s="121" customFormat="1" ht="12.75" customHeight="1" x14ac:dyDescent="0.2">
      <c r="H160" s="143"/>
      <c r="I160" s="143"/>
      <c r="J160" s="143"/>
      <c r="K160" s="143"/>
      <c r="L160" s="143"/>
      <c r="M160" s="143"/>
      <c r="N160" s="143"/>
      <c r="O160" s="143"/>
      <c r="P160" s="143"/>
      <c r="Q160" s="143"/>
      <c r="R160" s="143"/>
      <c r="S160" s="143"/>
      <c r="T160" s="143"/>
      <c r="U160" s="143"/>
      <c r="V160" s="143"/>
      <c r="W160" s="143"/>
      <c r="X160" s="143"/>
      <c r="Y160" s="143"/>
    </row>
    <row r="161" spans="8:26" s="121" customFormat="1" ht="12.75" customHeight="1" x14ac:dyDescent="0.2">
      <c r="H161" s="130"/>
      <c r="I161" s="130"/>
      <c r="J161" s="130"/>
      <c r="K161" s="130"/>
      <c r="L161" s="130"/>
      <c r="M161" s="130"/>
      <c r="N161" s="130"/>
      <c r="O161" s="130"/>
      <c r="P161" s="130"/>
      <c r="Q161" s="130"/>
      <c r="R161" s="130"/>
      <c r="S161" s="130"/>
      <c r="T161" s="130"/>
      <c r="U161" s="130"/>
      <c r="V161" s="130"/>
      <c r="W161" s="130"/>
      <c r="X161" s="130"/>
      <c r="Y161" s="130"/>
    </row>
    <row r="162" spans="8:26" s="121" customFormat="1" ht="12.75" customHeight="1" x14ac:dyDescent="0.2"/>
    <row r="163" spans="8:26" s="121" customFormat="1" ht="12.75" customHeight="1" x14ac:dyDescent="0.2"/>
    <row r="164" spans="8:26" s="121" customFormat="1" ht="12.75" customHeight="1" x14ac:dyDescent="0.2"/>
    <row r="165" spans="8:26" s="121" customFormat="1" ht="12.75" customHeight="1" x14ac:dyDescent="0.2"/>
    <row r="166" spans="8:26" ht="12.75" customHeight="1" x14ac:dyDescent="0.2">
      <c r="Z166" s="121"/>
    </row>
    <row r="167" spans="8:26" ht="12.75" customHeight="1" x14ac:dyDescent="0.2">
      <c r="Z167" s="121"/>
    </row>
    <row r="168" spans="8:26" ht="12.75" customHeight="1" x14ac:dyDescent="0.2">
      <c r="Z168" s="121"/>
    </row>
    <row r="169" spans="8:26" ht="12.75" customHeight="1" x14ac:dyDescent="0.2">
      <c r="Z169" s="121"/>
    </row>
    <row r="170" spans="8:26" ht="12.75" customHeight="1" x14ac:dyDescent="0.2">
      <c r="Z170" s="121"/>
    </row>
    <row r="171" spans="8:26" ht="12.75" customHeight="1" x14ac:dyDescent="0.2">
      <c r="Z171" s="121"/>
    </row>
    <row r="172" spans="8:26" ht="12.75" customHeight="1" x14ac:dyDescent="0.2"/>
    <row r="173" spans="8:26" ht="12.75" customHeight="1" x14ac:dyDescent="0.2"/>
    <row r="174" spans="8:26" ht="12.75" customHeight="1" x14ac:dyDescent="0.2"/>
    <row r="175" spans="8:26" ht="12.75" customHeight="1" x14ac:dyDescent="0.2"/>
    <row r="176" spans="8:2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sheetData>
  <mergeCells count="28">
    <mergeCell ref="C27:G27"/>
    <mergeCell ref="H3:U3"/>
    <mergeCell ref="E8:G8"/>
    <mergeCell ref="E10:G10"/>
    <mergeCell ref="C13:G13"/>
    <mergeCell ref="E15:G15"/>
    <mergeCell ref="E16:G16"/>
    <mergeCell ref="E17:G17"/>
    <mergeCell ref="E19:G19"/>
    <mergeCell ref="E20:G20"/>
    <mergeCell ref="C24:G24"/>
    <mergeCell ref="A147:U147"/>
    <mergeCell ref="E42:G42"/>
    <mergeCell ref="E45:F45"/>
    <mergeCell ref="C53:G53"/>
    <mergeCell ref="E58:F58"/>
    <mergeCell ref="C81:F81"/>
    <mergeCell ref="E86:G86"/>
    <mergeCell ref="A115:G115"/>
    <mergeCell ref="A118:G118"/>
    <mergeCell ref="A137:G137"/>
    <mergeCell ref="A142:G142"/>
    <mergeCell ref="A145:G145"/>
    <mergeCell ref="A148:U148"/>
    <mergeCell ref="A149:U149"/>
    <mergeCell ref="A150:U150"/>
    <mergeCell ref="A151:U151"/>
    <mergeCell ref="A153:U153"/>
  </mergeCells>
  <pageMargins left="0.7" right="0.7" top="0.75" bottom="0.75" header="0.3" footer="0.3"/>
  <pageSetup scale="4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36"/>
  <sheetViews>
    <sheetView view="pageBreakPreview" topLeftCell="A58" zoomScale="90" zoomScaleNormal="100" zoomScaleSheetLayoutView="90" workbookViewId="0">
      <selection activeCell="N70" sqref="N70"/>
    </sheetView>
  </sheetViews>
  <sheetFormatPr defaultRowHeight="12.75" x14ac:dyDescent="0.2"/>
  <cols>
    <col min="1" max="1" width="2.85546875" style="281" customWidth="1"/>
    <col min="2" max="2" width="3.28515625" style="281" customWidth="1"/>
    <col min="3" max="3" width="50.7109375" style="280" customWidth="1"/>
    <col min="4" max="4" width="8.7109375" style="281" customWidth="1"/>
    <col min="5" max="8" width="15.28515625" style="281" hidden="1" customWidth="1"/>
    <col min="9" max="9" width="15.28515625" style="281" customWidth="1"/>
    <col min="10" max="13" width="15.28515625" style="281" hidden="1" customWidth="1"/>
    <col min="14" max="14" width="15.28515625" style="281" customWidth="1"/>
    <col min="15" max="18" width="15.28515625" style="281" hidden="1" customWidth="1"/>
    <col min="19" max="19" width="15.28515625" style="281" customWidth="1"/>
    <col min="20" max="23" width="15.28515625" style="281" hidden="1" customWidth="1"/>
    <col min="24" max="24" width="15.28515625" style="281" customWidth="1"/>
    <col min="25" max="28" width="15.28515625" style="281" hidden="1" customWidth="1"/>
    <col min="29" max="29" width="15.28515625" style="281" customWidth="1"/>
    <col min="30" max="33" width="15.28515625" style="281" hidden="1" customWidth="1"/>
    <col min="34" max="34" width="15.28515625" style="281" customWidth="1"/>
    <col min="35" max="38" width="15.28515625" style="281" hidden="1" customWidth="1"/>
    <col min="39" max="39" width="15.28515625" style="281" customWidth="1"/>
    <col min="40" max="73" width="15.28515625" style="281" hidden="1" customWidth="1"/>
    <col min="74" max="74" width="15.28515625" style="281" customWidth="1"/>
    <col min="75" max="75" width="3.28515625" style="281" customWidth="1"/>
    <col min="76" max="76" width="7.85546875" style="278" customWidth="1"/>
    <col min="77" max="77" width="16.28515625" style="344" customWidth="1"/>
    <col min="78" max="78" width="13.7109375" style="344" customWidth="1"/>
    <col min="79" max="79" width="13.7109375" style="280" customWidth="1"/>
    <col min="80" max="80" width="9.5703125" style="281" customWidth="1"/>
    <col min="81" max="81" width="9.140625" style="281" customWidth="1"/>
    <col min="82" max="256" width="9.140625" style="281"/>
    <col min="257" max="257" width="2.85546875" style="281" customWidth="1"/>
    <col min="258" max="258" width="3.28515625" style="281" customWidth="1"/>
    <col min="259" max="259" width="50.7109375" style="281" customWidth="1"/>
    <col min="260" max="260" width="8.7109375" style="281" customWidth="1"/>
    <col min="261" max="264" width="13.5703125" style="281" customWidth="1"/>
    <col min="265" max="265" width="16.85546875" style="281" bestFit="1" customWidth="1"/>
    <col min="266" max="290" width="0" style="281" hidden="1" customWidth="1"/>
    <col min="291" max="295" width="15.42578125" style="281" customWidth="1"/>
    <col min="296" max="325" width="0" style="281" hidden="1" customWidth="1"/>
    <col min="326" max="326" width="15.42578125" style="281" customWidth="1"/>
    <col min="327" max="327" width="13.140625" style="281" customWidth="1"/>
    <col min="328" max="328" width="11.28515625" style="281" customWidth="1"/>
    <col min="329" max="329" width="12.7109375" style="281" customWidth="1"/>
    <col min="330" max="330" width="12.140625" style="281" customWidth="1"/>
    <col min="331" max="331" width="3.28515625" style="281" customWidth="1"/>
    <col min="332" max="336" width="0" style="281" hidden="1" customWidth="1"/>
    <col min="337" max="337" width="9.140625" style="281" customWidth="1"/>
    <col min="338" max="512" width="9.140625" style="281"/>
    <col min="513" max="513" width="2.85546875" style="281" customWidth="1"/>
    <col min="514" max="514" width="3.28515625" style="281" customWidth="1"/>
    <col min="515" max="515" width="50.7109375" style="281" customWidth="1"/>
    <col min="516" max="516" width="8.7109375" style="281" customWidth="1"/>
    <col min="517" max="520" width="13.5703125" style="281" customWidth="1"/>
    <col min="521" max="521" width="16.85546875" style="281" bestFit="1" customWidth="1"/>
    <col min="522" max="546" width="0" style="281" hidden="1" customWidth="1"/>
    <col min="547" max="551" width="15.42578125" style="281" customWidth="1"/>
    <col min="552" max="581" width="0" style="281" hidden="1" customWidth="1"/>
    <col min="582" max="582" width="15.42578125" style="281" customWidth="1"/>
    <col min="583" max="583" width="13.140625" style="281" customWidth="1"/>
    <col min="584" max="584" width="11.28515625" style="281" customWidth="1"/>
    <col min="585" max="585" width="12.7109375" style="281" customWidth="1"/>
    <col min="586" max="586" width="12.140625" style="281" customWidth="1"/>
    <col min="587" max="587" width="3.28515625" style="281" customWidth="1"/>
    <col min="588" max="592" width="0" style="281" hidden="1" customWidth="1"/>
    <col min="593" max="593" width="9.140625" style="281" customWidth="1"/>
    <col min="594" max="768" width="9.140625" style="281"/>
    <col min="769" max="769" width="2.85546875" style="281" customWidth="1"/>
    <col min="770" max="770" width="3.28515625" style="281" customWidth="1"/>
    <col min="771" max="771" width="50.7109375" style="281" customWidth="1"/>
    <col min="772" max="772" width="8.7109375" style="281" customWidth="1"/>
    <col min="773" max="776" width="13.5703125" style="281" customWidth="1"/>
    <col min="777" max="777" width="16.85546875" style="281" bestFit="1" customWidth="1"/>
    <col min="778" max="802" width="0" style="281" hidden="1" customWidth="1"/>
    <col min="803" max="807" width="15.42578125" style="281" customWidth="1"/>
    <col min="808" max="837" width="0" style="281" hidden="1" customWidth="1"/>
    <col min="838" max="838" width="15.42578125" style="281" customWidth="1"/>
    <col min="839" max="839" width="13.140625" style="281" customWidth="1"/>
    <col min="840" max="840" width="11.28515625" style="281" customWidth="1"/>
    <col min="841" max="841" width="12.7109375" style="281" customWidth="1"/>
    <col min="842" max="842" width="12.140625" style="281" customWidth="1"/>
    <col min="843" max="843" width="3.28515625" style="281" customWidth="1"/>
    <col min="844" max="848" width="0" style="281" hidden="1" customWidth="1"/>
    <col min="849" max="849" width="9.140625" style="281" customWidth="1"/>
    <col min="850" max="1024" width="9.140625" style="281"/>
    <col min="1025" max="1025" width="2.85546875" style="281" customWidth="1"/>
    <col min="1026" max="1026" width="3.28515625" style="281" customWidth="1"/>
    <col min="1027" max="1027" width="50.7109375" style="281" customWidth="1"/>
    <col min="1028" max="1028" width="8.7109375" style="281" customWidth="1"/>
    <col min="1029" max="1032" width="13.5703125" style="281" customWidth="1"/>
    <col min="1033" max="1033" width="16.85546875" style="281" bestFit="1" customWidth="1"/>
    <col min="1034" max="1058" width="0" style="281" hidden="1" customWidth="1"/>
    <col min="1059" max="1063" width="15.42578125" style="281" customWidth="1"/>
    <col min="1064" max="1093" width="0" style="281" hidden="1" customWidth="1"/>
    <col min="1094" max="1094" width="15.42578125" style="281" customWidth="1"/>
    <col min="1095" max="1095" width="13.140625" style="281" customWidth="1"/>
    <col min="1096" max="1096" width="11.28515625" style="281" customWidth="1"/>
    <col min="1097" max="1097" width="12.7109375" style="281" customWidth="1"/>
    <col min="1098" max="1098" width="12.140625" style="281" customWidth="1"/>
    <col min="1099" max="1099" width="3.28515625" style="281" customWidth="1"/>
    <col min="1100" max="1104" width="0" style="281" hidden="1" customWidth="1"/>
    <col min="1105" max="1105" width="9.140625" style="281" customWidth="1"/>
    <col min="1106" max="1280" width="9.140625" style="281"/>
    <col min="1281" max="1281" width="2.85546875" style="281" customWidth="1"/>
    <col min="1282" max="1282" width="3.28515625" style="281" customWidth="1"/>
    <col min="1283" max="1283" width="50.7109375" style="281" customWidth="1"/>
    <col min="1284" max="1284" width="8.7109375" style="281" customWidth="1"/>
    <col min="1285" max="1288" width="13.5703125" style="281" customWidth="1"/>
    <col min="1289" max="1289" width="16.85546875" style="281" bestFit="1" customWidth="1"/>
    <col min="1290" max="1314" width="0" style="281" hidden="1" customWidth="1"/>
    <col min="1315" max="1319" width="15.42578125" style="281" customWidth="1"/>
    <col min="1320" max="1349" width="0" style="281" hidden="1" customWidth="1"/>
    <col min="1350" max="1350" width="15.42578125" style="281" customWidth="1"/>
    <col min="1351" max="1351" width="13.140625" style="281" customWidth="1"/>
    <col min="1352" max="1352" width="11.28515625" style="281" customWidth="1"/>
    <col min="1353" max="1353" width="12.7109375" style="281" customWidth="1"/>
    <col min="1354" max="1354" width="12.140625" style="281" customWidth="1"/>
    <col min="1355" max="1355" width="3.28515625" style="281" customWidth="1"/>
    <col min="1356" max="1360" width="0" style="281" hidden="1" customWidth="1"/>
    <col min="1361" max="1361" width="9.140625" style="281" customWidth="1"/>
    <col min="1362" max="1536" width="9.140625" style="281"/>
    <col min="1537" max="1537" width="2.85546875" style="281" customWidth="1"/>
    <col min="1538" max="1538" width="3.28515625" style="281" customWidth="1"/>
    <col min="1539" max="1539" width="50.7109375" style="281" customWidth="1"/>
    <col min="1540" max="1540" width="8.7109375" style="281" customWidth="1"/>
    <col min="1541" max="1544" width="13.5703125" style="281" customWidth="1"/>
    <col min="1545" max="1545" width="16.85546875" style="281" bestFit="1" customWidth="1"/>
    <col min="1546" max="1570" width="0" style="281" hidden="1" customWidth="1"/>
    <col min="1571" max="1575" width="15.42578125" style="281" customWidth="1"/>
    <col min="1576" max="1605" width="0" style="281" hidden="1" customWidth="1"/>
    <col min="1606" max="1606" width="15.42578125" style="281" customWidth="1"/>
    <col min="1607" max="1607" width="13.140625" style="281" customWidth="1"/>
    <col min="1608" max="1608" width="11.28515625" style="281" customWidth="1"/>
    <col min="1609" max="1609" width="12.7109375" style="281" customWidth="1"/>
    <col min="1610" max="1610" width="12.140625" style="281" customWidth="1"/>
    <col min="1611" max="1611" width="3.28515625" style="281" customWidth="1"/>
    <col min="1612" max="1616" width="0" style="281" hidden="1" customWidth="1"/>
    <col min="1617" max="1617" width="9.140625" style="281" customWidth="1"/>
    <col min="1618" max="1792" width="9.140625" style="281"/>
    <col min="1793" max="1793" width="2.85546875" style="281" customWidth="1"/>
    <col min="1794" max="1794" width="3.28515625" style="281" customWidth="1"/>
    <col min="1795" max="1795" width="50.7109375" style="281" customWidth="1"/>
    <col min="1796" max="1796" width="8.7109375" style="281" customWidth="1"/>
    <col min="1797" max="1800" width="13.5703125" style="281" customWidth="1"/>
    <col min="1801" max="1801" width="16.85546875" style="281" bestFit="1" customWidth="1"/>
    <col min="1802" max="1826" width="0" style="281" hidden="1" customWidth="1"/>
    <col min="1827" max="1831" width="15.42578125" style="281" customWidth="1"/>
    <col min="1832" max="1861" width="0" style="281" hidden="1" customWidth="1"/>
    <col min="1862" max="1862" width="15.42578125" style="281" customWidth="1"/>
    <col min="1863" max="1863" width="13.140625" style="281" customWidth="1"/>
    <col min="1864" max="1864" width="11.28515625" style="281" customWidth="1"/>
    <col min="1865" max="1865" width="12.7109375" style="281" customWidth="1"/>
    <col min="1866" max="1866" width="12.140625" style="281" customWidth="1"/>
    <col min="1867" max="1867" width="3.28515625" style="281" customWidth="1"/>
    <col min="1868" max="1872" width="0" style="281" hidden="1" customWidth="1"/>
    <col min="1873" max="1873" width="9.140625" style="281" customWidth="1"/>
    <col min="1874" max="2048" width="9.140625" style="281"/>
    <col min="2049" max="2049" width="2.85546875" style="281" customWidth="1"/>
    <col min="2050" max="2050" width="3.28515625" style="281" customWidth="1"/>
    <col min="2051" max="2051" width="50.7109375" style="281" customWidth="1"/>
    <col min="2052" max="2052" width="8.7109375" style="281" customWidth="1"/>
    <col min="2053" max="2056" width="13.5703125" style="281" customWidth="1"/>
    <col min="2057" max="2057" width="16.85546875" style="281" bestFit="1" customWidth="1"/>
    <col min="2058" max="2082" width="0" style="281" hidden="1" customWidth="1"/>
    <col min="2083" max="2087" width="15.42578125" style="281" customWidth="1"/>
    <col min="2088" max="2117" width="0" style="281" hidden="1" customWidth="1"/>
    <col min="2118" max="2118" width="15.42578125" style="281" customWidth="1"/>
    <col min="2119" max="2119" width="13.140625" style="281" customWidth="1"/>
    <col min="2120" max="2120" width="11.28515625" style="281" customWidth="1"/>
    <col min="2121" max="2121" width="12.7109375" style="281" customWidth="1"/>
    <col min="2122" max="2122" width="12.140625" style="281" customWidth="1"/>
    <col min="2123" max="2123" width="3.28515625" style="281" customWidth="1"/>
    <col min="2124" max="2128" width="0" style="281" hidden="1" customWidth="1"/>
    <col min="2129" max="2129" width="9.140625" style="281" customWidth="1"/>
    <col min="2130" max="2304" width="9.140625" style="281"/>
    <col min="2305" max="2305" width="2.85546875" style="281" customWidth="1"/>
    <col min="2306" max="2306" width="3.28515625" style="281" customWidth="1"/>
    <col min="2307" max="2307" width="50.7109375" style="281" customWidth="1"/>
    <col min="2308" max="2308" width="8.7109375" style="281" customWidth="1"/>
    <col min="2309" max="2312" width="13.5703125" style="281" customWidth="1"/>
    <col min="2313" max="2313" width="16.85546875" style="281" bestFit="1" customWidth="1"/>
    <col min="2314" max="2338" width="0" style="281" hidden="1" customWidth="1"/>
    <col min="2339" max="2343" width="15.42578125" style="281" customWidth="1"/>
    <col min="2344" max="2373" width="0" style="281" hidden="1" customWidth="1"/>
    <col min="2374" max="2374" width="15.42578125" style="281" customWidth="1"/>
    <col min="2375" max="2375" width="13.140625" style="281" customWidth="1"/>
    <col min="2376" max="2376" width="11.28515625" style="281" customWidth="1"/>
    <col min="2377" max="2377" width="12.7109375" style="281" customWidth="1"/>
    <col min="2378" max="2378" width="12.140625" style="281" customWidth="1"/>
    <col min="2379" max="2379" width="3.28515625" style="281" customWidth="1"/>
    <col min="2380" max="2384" width="0" style="281" hidden="1" customWidth="1"/>
    <col min="2385" max="2385" width="9.140625" style="281" customWidth="1"/>
    <col min="2386" max="2560" width="9.140625" style="281"/>
    <col min="2561" max="2561" width="2.85546875" style="281" customWidth="1"/>
    <col min="2562" max="2562" width="3.28515625" style="281" customWidth="1"/>
    <col min="2563" max="2563" width="50.7109375" style="281" customWidth="1"/>
    <col min="2564" max="2564" width="8.7109375" style="281" customWidth="1"/>
    <col min="2565" max="2568" width="13.5703125" style="281" customWidth="1"/>
    <col min="2569" max="2569" width="16.85546875" style="281" bestFit="1" customWidth="1"/>
    <col min="2570" max="2594" width="0" style="281" hidden="1" customWidth="1"/>
    <col min="2595" max="2599" width="15.42578125" style="281" customWidth="1"/>
    <col min="2600" max="2629" width="0" style="281" hidden="1" customWidth="1"/>
    <col min="2630" max="2630" width="15.42578125" style="281" customWidth="1"/>
    <col min="2631" max="2631" width="13.140625" style="281" customWidth="1"/>
    <col min="2632" max="2632" width="11.28515625" style="281" customWidth="1"/>
    <col min="2633" max="2633" width="12.7109375" style="281" customWidth="1"/>
    <col min="2634" max="2634" width="12.140625" style="281" customWidth="1"/>
    <col min="2635" max="2635" width="3.28515625" style="281" customWidth="1"/>
    <col min="2636" max="2640" width="0" style="281" hidden="1" customWidth="1"/>
    <col min="2641" max="2641" width="9.140625" style="281" customWidth="1"/>
    <col min="2642" max="2816" width="9.140625" style="281"/>
    <col min="2817" max="2817" width="2.85546875" style="281" customWidth="1"/>
    <col min="2818" max="2818" width="3.28515625" style="281" customWidth="1"/>
    <col min="2819" max="2819" width="50.7109375" style="281" customWidth="1"/>
    <col min="2820" max="2820" width="8.7109375" style="281" customWidth="1"/>
    <col min="2821" max="2824" width="13.5703125" style="281" customWidth="1"/>
    <col min="2825" max="2825" width="16.85546875" style="281" bestFit="1" customWidth="1"/>
    <col min="2826" max="2850" width="0" style="281" hidden="1" customWidth="1"/>
    <col min="2851" max="2855" width="15.42578125" style="281" customWidth="1"/>
    <col min="2856" max="2885" width="0" style="281" hidden="1" customWidth="1"/>
    <col min="2886" max="2886" width="15.42578125" style="281" customWidth="1"/>
    <col min="2887" max="2887" width="13.140625" style="281" customWidth="1"/>
    <col min="2888" max="2888" width="11.28515625" style="281" customWidth="1"/>
    <col min="2889" max="2889" width="12.7109375" style="281" customWidth="1"/>
    <col min="2890" max="2890" width="12.140625" style="281" customWidth="1"/>
    <col min="2891" max="2891" width="3.28515625" style="281" customWidth="1"/>
    <col min="2892" max="2896" width="0" style="281" hidden="1" customWidth="1"/>
    <col min="2897" max="2897" width="9.140625" style="281" customWidth="1"/>
    <col min="2898" max="3072" width="9.140625" style="281"/>
    <col min="3073" max="3073" width="2.85546875" style="281" customWidth="1"/>
    <col min="3074" max="3074" width="3.28515625" style="281" customWidth="1"/>
    <col min="3075" max="3075" width="50.7109375" style="281" customWidth="1"/>
    <col min="3076" max="3076" width="8.7109375" style="281" customWidth="1"/>
    <col min="3077" max="3080" width="13.5703125" style="281" customWidth="1"/>
    <col min="3081" max="3081" width="16.85546875" style="281" bestFit="1" customWidth="1"/>
    <col min="3082" max="3106" width="0" style="281" hidden="1" customWidth="1"/>
    <col min="3107" max="3111" width="15.42578125" style="281" customWidth="1"/>
    <col min="3112" max="3141" width="0" style="281" hidden="1" customWidth="1"/>
    <col min="3142" max="3142" width="15.42578125" style="281" customWidth="1"/>
    <col min="3143" max="3143" width="13.140625" style="281" customWidth="1"/>
    <col min="3144" max="3144" width="11.28515625" style="281" customWidth="1"/>
    <col min="3145" max="3145" width="12.7109375" style="281" customWidth="1"/>
    <col min="3146" max="3146" width="12.140625" style="281" customWidth="1"/>
    <col min="3147" max="3147" width="3.28515625" style="281" customWidth="1"/>
    <col min="3148" max="3152" width="0" style="281" hidden="1" customWidth="1"/>
    <col min="3153" max="3153" width="9.140625" style="281" customWidth="1"/>
    <col min="3154" max="3328" width="9.140625" style="281"/>
    <col min="3329" max="3329" width="2.85546875" style="281" customWidth="1"/>
    <col min="3330" max="3330" width="3.28515625" style="281" customWidth="1"/>
    <col min="3331" max="3331" width="50.7109375" style="281" customWidth="1"/>
    <col min="3332" max="3332" width="8.7109375" style="281" customWidth="1"/>
    <col min="3333" max="3336" width="13.5703125" style="281" customWidth="1"/>
    <col min="3337" max="3337" width="16.85546875" style="281" bestFit="1" customWidth="1"/>
    <col min="3338" max="3362" width="0" style="281" hidden="1" customWidth="1"/>
    <col min="3363" max="3367" width="15.42578125" style="281" customWidth="1"/>
    <col min="3368" max="3397" width="0" style="281" hidden="1" customWidth="1"/>
    <col min="3398" max="3398" width="15.42578125" style="281" customWidth="1"/>
    <col min="3399" max="3399" width="13.140625" style="281" customWidth="1"/>
    <col min="3400" max="3400" width="11.28515625" style="281" customWidth="1"/>
    <col min="3401" max="3401" width="12.7109375" style="281" customWidth="1"/>
    <col min="3402" max="3402" width="12.140625" style="281" customWidth="1"/>
    <col min="3403" max="3403" width="3.28515625" style="281" customWidth="1"/>
    <col min="3404" max="3408" width="0" style="281" hidden="1" customWidth="1"/>
    <col min="3409" max="3409" width="9.140625" style="281" customWidth="1"/>
    <col min="3410" max="3584" width="9.140625" style="281"/>
    <col min="3585" max="3585" width="2.85546875" style="281" customWidth="1"/>
    <col min="3586" max="3586" width="3.28515625" style="281" customWidth="1"/>
    <col min="3587" max="3587" width="50.7109375" style="281" customWidth="1"/>
    <col min="3588" max="3588" width="8.7109375" style="281" customWidth="1"/>
    <col min="3589" max="3592" width="13.5703125" style="281" customWidth="1"/>
    <col min="3593" max="3593" width="16.85546875" style="281" bestFit="1" customWidth="1"/>
    <col min="3594" max="3618" width="0" style="281" hidden="1" customWidth="1"/>
    <col min="3619" max="3623" width="15.42578125" style="281" customWidth="1"/>
    <col min="3624" max="3653" width="0" style="281" hidden="1" customWidth="1"/>
    <col min="3654" max="3654" width="15.42578125" style="281" customWidth="1"/>
    <col min="3655" max="3655" width="13.140625" style="281" customWidth="1"/>
    <col min="3656" max="3656" width="11.28515625" style="281" customWidth="1"/>
    <col min="3657" max="3657" width="12.7109375" style="281" customWidth="1"/>
    <col min="3658" max="3658" width="12.140625" style="281" customWidth="1"/>
    <col min="3659" max="3659" width="3.28515625" style="281" customWidth="1"/>
    <col min="3660" max="3664" width="0" style="281" hidden="1" customWidth="1"/>
    <col min="3665" max="3665" width="9.140625" style="281" customWidth="1"/>
    <col min="3666" max="3840" width="9.140625" style="281"/>
    <col min="3841" max="3841" width="2.85546875" style="281" customWidth="1"/>
    <col min="3842" max="3842" width="3.28515625" style="281" customWidth="1"/>
    <col min="3843" max="3843" width="50.7109375" style="281" customWidth="1"/>
    <col min="3844" max="3844" width="8.7109375" style="281" customWidth="1"/>
    <col min="3845" max="3848" width="13.5703125" style="281" customWidth="1"/>
    <col min="3849" max="3849" width="16.85546875" style="281" bestFit="1" customWidth="1"/>
    <col min="3850" max="3874" width="0" style="281" hidden="1" customWidth="1"/>
    <col min="3875" max="3879" width="15.42578125" style="281" customWidth="1"/>
    <col min="3880" max="3909" width="0" style="281" hidden="1" customWidth="1"/>
    <col min="3910" max="3910" width="15.42578125" style="281" customWidth="1"/>
    <col min="3911" max="3911" width="13.140625" style="281" customWidth="1"/>
    <col min="3912" max="3912" width="11.28515625" style="281" customWidth="1"/>
    <col min="3913" max="3913" width="12.7109375" style="281" customWidth="1"/>
    <col min="3914" max="3914" width="12.140625" style="281" customWidth="1"/>
    <col min="3915" max="3915" width="3.28515625" style="281" customWidth="1"/>
    <col min="3916" max="3920" width="0" style="281" hidden="1" customWidth="1"/>
    <col min="3921" max="3921" width="9.140625" style="281" customWidth="1"/>
    <col min="3922" max="4096" width="9.140625" style="281"/>
    <col min="4097" max="4097" width="2.85546875" style="281" customWidth="1"/>
    <col min="4098" max="4098" width="3.28515625" style="281" customWidth="1"/>
    <col min="4099" max="4099" width="50.7109375" style="281" customWidth="1"/>
    <col min="4100" max="4100" width="8.7109375" style="281" customWidth="1"/>
    <col min="4101" max="4104" width="13.5703125" style="281" customWidth="1"/>
    <col min="4105" max="4105" width="16.85546875" style="281" bestFit="1" customWidth="1"/>
    <col min="4106" max="4130" width="0" style="281" hidden="1" customWidth="1"/>
    <col min="4131" max="4135" width="15.42578125" style="281" customWidth="1"/>
    <col min="4136" max="4165" width="0" style="281" hidden="1" customWidth="1"/>
    <col min="4166" max="4166" width="15.42578125" style="281" customWidth="1"/>
    <col min="4167" max="4167" width="13.140625" style="281" customWidth="1"/>
    <col min="4168" max="4168" width="11.28515625" style="281" customWidth="1"/>
    <col min="4169" max="4169" width="12.7109375" style="281" customWidth="1"/>
    <col min="4170" max="4170" width="12.140625" style="281" customWidth="1"/>
    <col min="4171" max="4171" width="3.28515625" style="281" customWidth="1"/>
    <col min="4172" max="4176" width="0" style="281" hidden="1" customWidth="1"/>
    <col min="4177" max="4177" width="9.140625" style="281" customWidth="1"/>
    <col min="4178" max="4352" width="9.140625" style="281"/>
    <col min="4353" max="4353" width="2.85546875" style="281" customWidth="1"/>
    <col min="4354" max="4354" width="3.28515625" style="281" customWidth="1"/>
    <col min="4355" max="4355" width="50.7109375" style="281" customWidth="1"/>
    <col min="4356" max="4356" width="8.7109375" style="281" customWidth="1"/>
    <col min="4357" max="4360" width="13.5703125" style="281" customWidth="1"/>
    <col min="4361" max="4361" width="16.85546875" style="281" bestFit="1" customWidth="1"/>
    <col min="4362" max="4386" width="0" style="281" hidden="1" customWidth="1"/>
    <col min="4387" max="4391" width="15.42578125" style="281" customWidth="1"/>
    <col min="4392" max="4421" width="0" style="281" hidden="1" customWidth="1"/>
    <col min="4422" max="4422" width="15.42578125" style="281" customWidth="1"/>
    <col min="4423" max="4423" width="13.140625" style="281" customWidth="1"/>
    <col min="4424" max="4424" width="11.28515625" style="281" customWidth="1"/>
    <col min="4425" max="4425" width="12.7109375" style="281" customWidth="1"/>
    <col min="4426" max="4426" width="12.140625" style="281" customWidth="1"/>
    <col min="4427" max="4427" width="3.28515625" style="281" customWidth="1"/>
    <col min="4428" max="4432" width="0" style="281" hidden="1" customWidth="1"/>
    <col min="4433" max="4433" width="9.140625" style="281" customWidth="1"/>
    <col min="4434" max="4608" width="9.140625" style="281"/>
    <col min="4609" max="4609" width="2.85546875" style="281" customWidth="1"/>
    <col min="4610" max="4610" width="3.28515625" style="281" customWidth="1"/>
    <col min="4611" max="4611" width="50.7109375" style="281" customWidth="1"/>
    <col min="4612" max="4612" width="8.7109375" style="281" customWidth="1"/>
    <col min="4613" max="4616" width="13.5703125" style="281" customWidth="1"/>
    <col min="4617" max="4617" width="16.85546875" style="281" bestFit="1" customWidth="1"/>
    <col min="4618" max="4642" width="0" style="281" hidden="1" customWidth="1"/>
    <col min="4643" max="4647" width="15.42578125" style="281" customWidth="1"/>
    <col min="4648" max="4677" width="0" style="281" hidden="1" customWidth="1"/>
    <col min="4678" max="4678" width="15.42578125" style="281" customWidth="1"/>
    <col min="4679" max="4679" width="13.140625" style="281" customWidth="1"/>
    <col min="4680" max="4680" width="11.28515625" style="281" customWidth="1"/>
    <col min="4681" max="4681" width="12.7109375" style="281" customWidth="1"/>
    <col min="4682" max="4682" width="12.140625" style="281" customWidth="1"/>
    <col min="4683" max="4683" width="3.28515625" style="281" customWidth="1"/>
    <col min="4684" max="4688" width="0" style="281" hidden="1" customWidth="1"/>
    <col min="4689" max="4689" width="9.140625" style="281" customWidth="1"/>
    <col min="4690" max="4864" width="9.140625" style="281"/>
    <col min="4865" max="4865" width="2.85546875" style="281" customWidth="1"/>
    <col min="4866" max="4866" width="3.28515625" style="281" customWidth="1"/>
    <col min="4867" max="4867" width="50.7109375" style="281" customWidth="1"/>
    <col min="4868" max="4868" width="8.7109375" style="281" customWidth="1"/>
    <col min="4869" max="4872" width="13.5703125" style="281" customWidth="1"/>
    <col min="4873" max="4873" width="16.85546875" style="281" bestFit="1" customWidth="1"/>
    <col min="4874" max="4898" width="0" style="281" hidden="1" customWidth="1"/>
    <col min="4899" max="4903" width="15.42578125" style="281" customWidth="1"/>
    <col min="4904" max="4933" width="0" style="281" hidden="1" customWidth="1"/>
    <col min="4934" max="4934" width="15.42578125" style="281" customWidth="1"/>
    <col min="4935" max="4935" width="13.140625" style="281" customWidth="1"/>
    <col min="4936" max="4936" width="11.28515625" style="281" customWidth="1"/>
    <col min="4937" max="4937" width="12.7109375" style="281" customWidth="1"/>
    <col min="4938" max="4938" width="12.140625" style="281" customWidth="1"/>
    <col min="4939" max="4939" width="3.28515625" style="281" customWidth="1"/>
    <col min="4940" max="4944" width="0" style="281" hidden="1" customWidth="1"/>
    <col min="4945" max="4945" width="9.140625" style="281" customWidth="1"/>
    <col min="4946" max="5120" width="9.140625" style="281"/>
    <col min="5121" max="5121" width="2.85546875" style="281" customWidth="1"/>
    <col min="5122" max="5122" width="3.28515625" style="281" customWidth="1"/>
    <col min="5123" max="5123" width="50.7109375" style="281" customWidth="1"/>
    <col min="5124" max="5124" width="8.7109375" style="281" customWidth="1"/>
    <col min="5125" max="5128" width="13.5703125" style="281" customWidth="1"/>
    <col min="5129" max="5129" width="16.85546875" style="281" bestFit="1" customWidth="1"/>
    <col min="5130" max="5154" width="0" style="281" hidden="1" customWidth="1"/>
    <col min="5155" max="5159" width="15.42578125" style="281" customWidth="1"/>
    <col min="5160" max="5189" width="0" style="281" hidden="1" customWidth="1"/>
    <col min="5190" max="5190" width="15.42578125" style="281" customWidth="1"/>
    <col min="5191" max="5191" width="13.140625" style="281" customWidth="1"/>
    <col min="5192" max="5192" width="11.28515625" style="281" customWidth="1"/>
    <col min="5193" max="5193" width="12.7109375" style="281" customWidth="1"/>
    <col min="5194" max="5194" width="12.140625" style="281" customWidth="1"/>
    <col min="5195" max="5195" width="3.28515625" style="281" customWidth="1"/>
    <col min="5196" max="5200" width="0" style="281" hidden="1" customWidth="1"/>
    <col min="5201" max="5201" width="9.140625" style="281" customWidth="1"/>
    <col min="5202" max="5376" width="9.140625" style="281"/>
    <col min="5377" max="5377" width="2.85546875" style="281" customWidth="1"/>
    <col min="5378" max="5378" width="3.28515625" style="281" customWidth="1"/>
    <col min="5379" max="5379" width="50.7109375" style="281" customWidth="1"/>
    <col min="5380" max="5380" width="8.7109375" style="281" customWidth="1"/>
    <col min="5381" max="5384" width="13.5703125" style="281" customWidth="1"/>
    <col min="5385" max="5385" width="16.85546875" style="281" bestFit="1" customWidth="1"/>
    <col min="5386" max="5410" width="0" style="281" hidden="1" customWidth="1"/>
    <col min="5411" max="5415" width="15.42578125" style="281" customWidth="1"/>
    <col min="5416" max="5445" width="0" style="281" hidden="1" customWidth="1"/>
    <col min="5446" max="5446" width="15.42578125" style="281" customWidth="1"/>
    <col min="5447" max="5447" width="13.140625" style="281" customWidth="1"/>
    <col min="5448" max="5448" width="11.28515625" style="281" customWidth="1"/>
    <col min="5449" max="5449" width="12.7109375" style="281" customWidth="1"/>
    <col min="5450" max="5450" width="12.140625" style="281" customWidth="1"/>
    <col min="5451" max="5451" width="3.28515625" style="281" customWidth="1"/>
    <col min="5452" max="5456" width="0" style="281" hidden="1" customWidth="1"/>
    <col min="5457" max="5457" width="9.140625" style="281" customWidth="1"/>
    <col min="5458" max="5632" width="9.140625" style="281"/>
    <col min="5633" max="5633" width="2.85546875" style="281" customWidth="1"/>
    <col min="5634" max="5634" width="3.28515625" style="281" customWidth="1"/>
    <col min="5635" max="5635" width="50.7109375" style="281" customWidth="1"/>
    <col min="5636" max="5636" width="8.7109375" style="281" customWidth="1"/>
    <col min="5637" max="5640" width="13.5703125" style="281" customWidth="1"/>
    <col min="5641" max="5641" width="16.85546875" style="281" bestFit="1" customWidth="1"/>
    <col min="5642" max="5666" width="0" style="281" hidden="1" customWidth="1"/>
    <col min="5667" max="5671" width="15.42578125" style="281" customWidth="1"/>
    <col min="5672" max="5701" width="0" style="281" hidden="1" customWidth="1"/>
    <col min="5702" max="5702" width="15.42578125" style="281" customWidth="1"/>
    <col min="5703" max="5703" width="13.140625" style="281" customWidth="1"/>
    <col min="5704" max="5704" width="11.28515625" style="281" customWidth="1"/>
    <col min="5705" max="5705" width="12.7109375" style="281" customWidth="1"/>
    <col min="5706" max="5706" width="12.140625" style="281" customWidth="1"/>
    <col min="5707" max="5707" width="3.28515625" style="281" customWidth="1"/>
    <col min="5708" max="5712" width="0" style="281" hidden="1" customWidth="1"/>
    <col min="5713" max="5713" width="9.140625" style="281" customWidth="1"/>
    <col min="5714" max="5888" width="9.140625" style="281"/>
    <col min="5889" max="5889" width="2.85546875" style="281" customWidth="1"/>
    <col min="5890" max="5890" width="3.28515625" style="281" customWidth="1"/>
    <col min="5891" max="5891" width="50.7109375" style="281" customWidth="1"/>
    <col min="5892" max="5892" width="8.7109375" style="281" customWidth="1"/>
    <col min="5893" max="5896" width="13.5703125" style="281" customWidth="1"/>
    <col min="5897" max="5897" width="16.85546875" style="281" bestFit="1" customWidth="1"/>
    <col min="5898" max="5922" width="0" style="281" hidden="1" customWidth="1"/>
    <col min="5923" max="5927" width="15.42578125" style="281" customWidth="1"/>
    <col min="5928" max="5957" width="0" style="281" hidden="1" customWidth="1"/>
    <col min="5958" max="5958" width="15.42578125" style="281" customWidth="1"/>
    <col min="5959" max="5959" width="13.140625" style="281" customWidth="1"/>
    <col min="5960" max="5960" width="11.28515625" style="281" customWidth="1"/>
    <col min="5961" max="5961" width="12.7109375" style="281" customWidth="1"/>
    <col min="5962" max="5962" width="12.140625" style="281" customWidth="1"/>
    <col min="5963" max="5963" width="3.28515625" style="281" customWidth="1"/>
    <col min="5964" max="5968" width="0" style="281" hidden="1" customWidth="1"/>
    <col min="5969" max="5969" width="9.140625" style="281" customWidth="1"/>
    <col min="5970" max="6144" width="9.140625" style="281"/>
    <col min="6145" max="6145" width="2.85546875" style="281" customWidth="1"/>
    <col min="6146" max="6146" width="3.28515625" style="281" customWidth="1"/>
    <col min="6147" max="6147" width="50.7109375" style="281" customWidth="1"/>
    <col min="6148" max="6148" width="8.7109375" style="281" customWidth="1"/>
    <col min="6149" max="6152" width="13.5703125" style="281" customWidth="1"/>
    <col min="6153" max="6153" width="16.85546875" style="281" bestFit="1" customWidth="1"/>
    <col min="6154" max="6178" width="0" style="281" hidden="1" customWidth="1"/>
    <col min="6179" max="6183" width="15.42578125" style="281" customWidth="1"/>
    <col min="6184" max="6213" width="0" style="281" hidden="1" customWidth="1"/>
    <col min="6214" max="6214" width="15.42578125" style="281" customWidth="1"/>
    <col min="6215" max="6215" width="13.140625" style="281" customWidth="1"/>
    <col min="6216" max="6216" width="11.28515625" style="281" customWidth="1"/>
    <col min="6217" max="6217" width="12.7109375" style="281" customWidth="1"/>
    <col min="6218" max="6218" width="12.140625" style="281" customWidth="1"/>
    <col min="6219" max="6219" width="3.28515625" style="281" customWidth="1"/>
    <col min="6220" max="6224" width="0" style="281" hidden="1" customWidth="1"/>
    <col min="6225" max="6225" width="9.140625" style="281" customWidth="1"/>
    <col min="6226" max="6400" width="9.140625" style="281"/>
    <col min="6401" max="6401" width="2.85546875" style="281" customWidth="1"/>
    <col min="6402" max="6402" width="3.28515625" style="281" customWidth="1"/>
    <col min="6403" max="6403" width="50.7109375" style="281" customWidth="1"/>
    <col min="6404" max="6404" width="8.7109375" style="281" customWidth="1"/>
    <col min="6405" max="6408" width="13.5703125" style="281" customWidth="1"/>
    <col min="6409" max="6409" width="16.85546875" style="281" bestFit="1" customWidth="1"/>
    <col min="6410" max="6434" width="0" style="281" hidden="1" customWidth="1"/>
    <col min="6435" max="6439" width="15.42578125" style="281" customWidth="1"/>
    <col min="6440" max="6469" width="0" style="281" hidden="1" customWidth="1"/>
    <col min="6470" max="6470" width="15.42578125" style="281" customWidth="1"/>
    <col min="6471" max="6471" width="13.140625" style="281" customWidth="1"/>
    <col min="6472" max="6472" width="11.28515625" style="281" customWidth="1"/>
    <col min="6473" max="6473" width="12.7109375" style="281" customWidth="1"/>
    <col min="6474" max="6474" width="12.140625" style="281" customWidth="1"/>
    <col min="6475" max="6475" width="3.28515625" style="281" customWidth="1"/>
    <col min="6476" max="6480" width="0" style="281" hidden="1" customWidth="1"/>
    <col min="6481" max="6481" width="9.140625" style="281" customWidth="1"/>
    <col min="6482" max="6656" width="9.140625" style="281"/>
    <col min="6657" max="6657" width="2.85546875" style="281" customWidth="1"/>
    <col min="6658" max="6658" width="3.28515625" style="281" customWidth="1"/>
    <col min="6659" max="6659" width="50.7109375" style="281" customWidth="1"/>
    <col min="6660" max="6660" width="8.7109375" style="281" customWidth="1"/>
    <col min="6661" max="6664" width="13.5703125" style="281" customWidth="1"/>
    <col min="6665" max="6665" width="16.85546875" style="281" bestFit="1" customWidth="1"/>
    <col min="6666" max="6690" width="0" style="281" hidden="1" customWidth="1"/>
    <col min="6691" max="6695" width="15.42578125" style="281" customWidth="1"/>
    <col min="6696" max="6725" width="0" style="281" hidden="1" customWidth="1"/>
    <col min="6726" max="6726" width="15.42578125" style="281" customWidth="1"/>
    <col min="6727" max="6727" width="13.140625" style="281" customWidth="1"/>
    <col min="6728" max="6728" width="11.28515625" style="281" customWidth="1"/>
    <col min="6729" max="6729" width="12.7109375" style="281" customWidth="1"/>
    <col min="6730" max="6730" width="12.140625" style="281" customWidth="1"/>
    <col min="6731" max="6731" width="3.28515625" style="281" customWidth="1"/>
    <col min="6732" max="6736" width="0" style="281" hidden="1" customWidth="1"/>
    <col min="6737" max="6737" width="9.140625" style="281" customWidth="1"/>
    <col min="6738" max="6912" width="9.140625" style="281"/>
    <col min="6913" max="6913" width="2.85546875" style="281" customWidth="1"/>
    <col min="6914" max="6914" width="3.28515625" style="281" customWidth="1"/>
    <col min="6915" max="6915" width="50.7109375" style="281" customWidth="1"/>
    <col min="6916" max="6916" width="8.7109375" style="281" customWidth="1"/>
    <col min="6917" max="6920" width="13.5703125" style="281" customWidth="1"/>
    <col min="6921" max="6921" width="16.85546875" style="281" bestFit="1" customWidth="1"/>
    <col min="6922" max="6946" width="0" style="281" hidden="1" customWidth="1"/>
    <col min="6947" max="6951" width="15.42578125" style="281" customWidth="1"/>
    <col min="6952" max="6981" width="0" style="281" hidden="1" customWidth="1"/>
    <col min="6982" max="6982" width="15.42578125" style="281" customWidth="1"/>
    <col min="6983" max="6983" width="13.140625" style="281" customWidth="1"/>
    <col min="6984" max="6984" width="11.28515625" style="281" customWidth="1"/>
    <col min="6985" max="6985" width="12.7109375" style="281" customWidth="1"/>
    <col min="6986" max="6986" width="12.140625" style="281" customWidth="1"/>
    <col min="6987" max="6987" width="3.28515625" style="281" customWidth="1"/>
    <col min="6988" max="6992" width="0" style="281" hidden="1" customWidth="1"/>
    <col min="6993" max="6993" width="9.140625" style="281" customWidth="1"/>
    <col min="6994" max="7168" width="9.140625" style="281"/>
    <col min="7169" max="7169" width="2.85546875" style="281" customWidth="1"/>
    <col min="7170" max="7170" width="3.28515625" style="281" customWidth="1"/>
    <col min="7171" max="7171" width="50.7109375" style="281" customWidth="1"/>
    <col min="7172" max="7172" width="8.7109375" style="281" customWidth="1"/>
    <col min="7173" max="7176" width="13.5703125" style="281" customWidth="1"/>
    <col min="7177" max="7177" width="16.85546875" style="281" bestFit="1" customWidth="1"/>
    <col min="7178" max="7202" width="0" style="281" hidden="1" customWidth="1"/>
    <col min="7203" max="7207" width="15.42578125" style="281" customWidth="1"/>
    <col min="7208" max="7237" width="0" style="281" hidden="1" customWidth="1"/>
    <col min="7238" max="7238" width="15.42578125" style="281" customWidth="1"/>
    <col min="7239" max="7239" width="13.140625" style="281" customWidth="1"/>
    <col min="7240" max="7240" width="11.28515625" style="281" customWidth="1"/>
    <col min="7241" max="7241" width="12.7109375" style="281" customWidth="1"/>
    <col min="7242" max="7242" width="12.140625" style="281" customWidth="1"/>
    <col min="7243" max="7243" width="3.28515625" style="281" customWidth="1"/>
    <col min="7244" max="7248" width="0" style="281" hidden="1" customWidth="1"/>
    <col min="7249" max="7249" width="9.140625" style="281" customWidth="1"/>
    <col min="7250" max="7424" width="9.140625" style="281"/>
    <col min="7425" max="7425" width="2.85546875" style="281" customWidth="1"/>
    <col min="7426" max="7426" width="3.28515625" style="281" customWidth="1"/>
    <col min="7427" max="7427" width="50.7109375" style="281" customWidth="1"/>
    <col min="7428" max="7428" width="8.7109375" style="281" customWidth="1"/>
    <col min="7429" max="7432" width="13.5703125" style="281" customWidth="1"/>
    <col min="7433" max="7433" width="16.85546875" style="281" bestFit="1" customWidth="1"/>
    <col min="7434" max="7458" width="0" style="281" hidden="1" customWidth="1"/>
    <col min="7459" max="7463" width="15.42578125" style="281" customWidth="1"/>
    <col min="7464" max="7493" width="0" style="281" hidden="1" customWidth="1"/>
    <col min="7494" max="7494" width="15.42578125" style="281" customWidth="1"/>
    <col min="7495" max="7495" width="13.140625" style="281" customWidth="1"/>
    <col min="7496" max="7496" width="11.28515625" style="281" customWidth="1"/>
    <col min="7497" max="7497" width="12.7109375" style="281" customWidth="1"/>
    <col min="7498" max="7498" width="12.140625" style="281" customWidth="1"/>
    <col min="7499" max="7499" width="3.28515625" style="281" customWidth="1"/>
    <col min="7500" max="7504" width="0" style="281" hidden="1" customWidth="1"/>
    <col min="7505" max="7505" width="9.140625" style="281" customWidth="1"/>
    <col min="7506" max="7680" width="9.140625" style="281"/>
    <col min="7681" max="7681" width="2.85546875" style="281" customWidth="1"/>
    <col min="7682" max="7682" width="3.28515625" style="281" customWidth="1"/>
    <col min="7683" max="7683" width="50.7109375" style="281" customWidth="1"/>
    <col min="7684" max="7684" width="8.7109375" style="281" customWidth="1"/>
    <col min="7685" max="7688" width="13.5703125" style="281" customWidth="1"/>
    <col min="7689" max="7689" width="16.85546875" style="281" bestFit="1" customWidth="1"/>
    <col min="7690" max="7714" width="0" style="281" hidden="1" customWidth="1"/>
    <col min="7715" max="7719" width="15.42578125" style="281" customWidth="1"/>
    <col min="7720" max="7749" width="0" style="281" hidden="1" customWidth="1"/>
    <col min="7750" max="7750" width="15.42578125" style="281" customWidth="1"/>
    <col min="7751" max="7751" width="13.140625" style="281" customWidth="1"/>
    <col min="7752" max="7752" width="11.28515625" style="281" customWidth="1"/>
    <col min="7753" max="7753" width="12.7109375" style="281" customWidth="1"/>
    <col min="7754" max="7754" width="12.140625" style="281" customWidth="1"/>
    <col min="7755" max="7755" width="3.28515625" style="281" customWidth="1"/>
    <col min="7756" max="7760" width="0" style="281" hidden="1" customWidth="1"/>
    <col min="7761" max="7761" width="9.140625" style="281" customWidth="1"/>
    <col min="7762" max="7936" width="9.140625" style="281"/>
    <col min="7937" max="7937" width="2.85546875" style="281" customWidth="1"/>
    <col min="7938" max="7938" width="3.28515625" style="281" customWidth="1"/>
    <col min="7939" max="7939" width="50.7109375" style="281" customWidth="1"/>
    <col min="7940" max="7940" width="8.7109375" style="281" customWidth="1"/>
    <col min="7941" max="7944" width="13.5703125" style="281" customWidth="1"/>
    <col min="7945" max="7945" width="16.85546875" style="281" bestFit="1" customWidth="1"/>
    <col min="7946" max="7970" width="0" style="281" hidden="1" customWidth="1"/>
    <col min="7971" max="7975" width="15.42578125" style="281" customWidth="1"/>
    <col min="7976" max="8005" width="0" style="281" hidden="1" customWidth="1"/>
    <col min="8006" max="8006" width="15.42578125" style="281" customWidth="1"/>
    <col min="8007" max="8007" width="13.140625" style="281" customWidth="1"/>
    <col min="8008" max="8008" width="11.28515625" style="281" customWidth="1"/>
    <col min="8009" max="8009" width="12.7109375" style="281" customWidth="1"/>
    <col min="8010" max="8010" width="12.140625" style="281" customWidth="1"/>
    <col min="8011" max="8011" width="3.28515625" style="281" customWidth="1"/>
    <col min="8012" max="8016" width="0" style="281" hidden="1" customWidth="1"/>
    <col min="8017" max="8017" width="9.140625" style="281" customWidth="1"/>
    <col min="8018" max="8192" width="9.140625" style="281"/>
    <col min="8193" max="8193" width="2.85546875" style="281" customWidth="1"/>
    <col min="8194" max="8194" width="3.28515625" style="281" customWidth="1"/>
    <col min="8195" max="8195" width="50.7109375" style="281" customWidth="1"/>
    <col min="8196" max="8196" width="8.7109375" style="281" customWidth="1"/>
    <col min="8197" max="8200" width="13.5703125" style="281" customWidth="1"/>
    <col min="8201" max="8201" width="16.85546875" style="281" bestFit="1" customWidth="1"/>
    <col min="8202" max="8226" width="0" style="281" hidden="1" customWidth="1"/>
    <col min="8227" max="8231" width="15.42578125" style="281" customWidth="1"/>
    <col min="8232" max="8261" width="0" style="281" hidden="1" customWidth="1"/>
    <col min="8262" max="8262" width="15.42578125" style="281" customWidth="1"/>
    <col min="8263" max="8263" width="13.140625" style="281" customWidth="1"/>
    <col min="8264" max="8264" width="11.28515625" style="281" customWidth="1"/>
    <col min="8265" max="8265" width="12.7109375" style="281" customWidth="1"/>
    <col min="8266" max="8266" width="12.140625" style="281" customWidth="1"/>
    <col min="8267" max="8267" width="3.28515625" style="281" customWidth="1"/>
    <col min="8268" max="8272" width="0" style="281" hidden="1" customWidth="1"/>
    <col min="8273" max="8273" width="9.140625" style="281" customWidth="1"/>
    <col min="8274" max="8448" width="9.140625" style="281"/>
    <col min="8449" max="8449" width="2.85546875" style="281" customWidth="1"/>
    <col min="8450" max="8450" width="3.28515625" style="281" customWidth="1"/>
    <col min="8451" max="8451" width="50.7109375" style="281" customWidth="1"/>
    <col min="8452" max="8452" width="8.7109375" style="281" customWidth="1"/>
    <col min="8453" max="8456" width="13.5703125" style="281" customWidth="1"/>
    <col min="8457" max="8457" width="16.85546875" style="281" bestFit="1" customWidth="1"/>
    <col min="8458" max="8482" width="0" style="281" hidden="1" customWidth="1"/>
    <col min="8483" max="8487" width="15.42578125" style="281" customWidth="1"/>
    <col min="8488" max="8517" width="0" style="281" hidden="1" customWidth="1"/>
    <col min="8518" max="8518" width="15.42578125" style="281" customWidth="1"/>
    <col min="8519" max="8519" width="13.140625" style="281" customWidth="1"/>
    <col min="8520" max="8520" width="11.28515625" style="281" customWidth="1"/>
    <col min="8521" max="8521" width="12.7109375" style="281" customWidth="1"/>
    <col min="8522" max="8522" width="12.140625" style="281" customWidth="1"/>
    <col min="8523" max="8523" width="3.28515625" style="281" customWidth="1"/>
    <col min="8524" max="8528" width="0" style="281" hidden="1" customWidth="1"/>
    <col min="8529" max="8529" width="9.140625" style="281" customWidth="1"/>
    <col min="8530" max="8704" width="9.140625" style="281"/>
    <col min="8705" max="8705" width="2.85546875" style="281" customWidth="1"/>
    <col min="8706" max="8706" width="3.28515625" style="281" customWidth="1"/>
    <col min="8707" max="8707" width="50.7109375" style="281" customWidth="1"/>
    <col min="8708" max="8708" width="8.7109375" style="281" customWidth="1"/>
    <col min="8709" max="8712" width="13.5703125" style="281" customWidth="1"/>
    <col min="8713" max="8713" width="16.85546875" style="281" bestFit="1" customWidth="1"/>
    <col min="8714" max="8738" width="0" style="281" hidden="1" customWidth="1"/>
    <col min="8739" max="8743" width="15.42578125" style="281" customWidth="1"/>
    <col min="8744" max="8773" width="0" style="281" hidden="1" customWidth="1"/>
    <col min="8774" max="8774" width="15.42578125" style="281" customWidth="1"/>
    <col min="8775" max="8775" width="13.140625" style="281" customWidth="1"/>
    <col min="8776" max="8776" width="11.28515625" style="281" customWidth="1"/>
    <col min="8777" max="8777" width="12.7109375" style="281" customWidth="1"/>
    <col min="8778" max="8778" width="12.140625" style="281" customWidth="1"/>
    <col min="8779" max="8779" width="3.28515625" style="281" customWidth="1"/>
    <col min="8780" max="8784" width="0" style="281" hidden="1" customWidth="1"/>
    <col min="8785" max="8785" width="9.140625" style="281" customWidth="1"/>
    <col min="8786" max="8960" width="9.140625" style="281"/>
    <col min="8961" max="8961" width="2.85546875" style="281" customWidth="1"/>
    <col min="8962" max="8962" width="3.28515625" style="281" customWidth="1"/>
    <col min="8963" max="8963" width="50.7109375" style="281" customWidth="1"/>
    <col min="8964" max="8964" width="8.7109375" style="281" customWidth="1"/>
    <col min="8965" max="8968" width="13.5703125" style="281" customWidth="1"/>
    <col min="8969" max="8969" width="16.85546875" style="281" bestFit="1" customWidth="1"/>
    <col min="8970" max="8994" width="0" style="281" hidden="1" customWidth="1"/>
    <col min="8995" max="8999" width="15.42578125" style="281" customWidth="1"/>
    <col min="9000" max="9029" width="0" style="281" hidden="1" customWidth="1"/>
    <col min="9030" max="9030" width="15.42578125" style="281" customWidth="1"/>
    <col min="9031" max="9031" width="13.140625" style="281" customWidth="1"/>
    <col min="9032" max="9032" width="11.28515625" style="281" customWidth="1"/>
    <col min="9033" max="9033" width="12.7109375" style="281" customWidth="1"/>
    <col min="9034" max="9034" width="12.140625" style="281" customWidth="1"/>
    <col min="9035" max="9035" width="3.28515625" style="281" customWidth="1"/>
    <col min="9036" max="9040" width="0" style="281" hidden="1" customWidth="1"/>
    <col min="9041" max="9041" width="9.140625" style="281" customWidth="1"/>
    <col min="9042" max="9216" width="9.140625" style="281"/>
    <col min="9217" max="9217" width="2.85546875" style="281" customWidth="1"/>
    <col min="9218" max="9218" width="3.28515625" style="281" customWidth="1"/>
    <col min="9219" max="9219" width="50.7109375" style="281" customWidth="1"/>
    <col min="9220" max="9220" width="8.7109375" style="281" customWidth="1"/>
    <col min="9221" max="9224" width="13.5703125" style="281" customWidth="1"/>
    <col min="9225" max="9225" width="16.85546875" style="281" bestFit="1" customWidth="1"/>
    <col min="9226" max="9250" width="0" style="281" hidden="1" customWidth="1"/>
    <col min="9251" max="9255" width="15.42578125" style="281" customWidth="1"/>
    <col min="9256" max="9285" width="0" style="281" hidden="1" customWidth="1"/>
    <col min="9286" max="9286" width="15.42578125" style="281" customWidth="1"/>
    <col min="9287" max="9287" width="13.140625" style="281" customWidth="1"/>
    <col min="9288" max="9288" width="11.28515625" style="281" customWidth="1"/>
    <col min="9289" max="9289" width="12.7109375" style="281" customWidth="1"/>
    <col min="9290" max="9290" width="12.140625" style="281" customWidth="1"/>
    <col min="9291" max="9291" width="3.28515625" style="281" customWidth="1"/>
    <col min="9292" max="9296" width="0" style="281" hidden="1" customWidth="1"/>
    <col min="9297" max="9297" width="9.140625" style="281" customWidth="1"/>
    <col min="9298" max="9472" width="9.140625" style="281"/>
    <col min="9473" max="9473" width="2.85546875" style="281" customWidth="1"/>
    <col min="9474" max="9474" width="3.28515625" style="281" customWidth="1"/>
    <col min="9475" max="9475" width="50.7109375" style="281" customWidth="1"/>
    <col min="9476" max="9476" width="8.7109375" style="281" customWidth="1"/>
    <col min="9477" max="9480" width="13.5703125" style="281" customWidth="1"/>
    <col min="9481" max="9481" width="16.85546875" style="281" bestFit="1" customWidth="1"/>
    <col min="9482" max="9506" width="0" style="281" hidden="1" customWidth="1"/>
    <col min="9507" max="9511" width="15.42578125" style="281" customWidth="1"/>
    <col min="9512" max="9541" width="0" style="281" hidden="1" customWidth="1"/>
    <col min="9542" max="9542" width="15.42578125" style="281" customWidth="1"/>
    <col min="9543" max="9543" width="13.140625" style="281" customWidth="1"/>
    <col min="9544" max="9544" width="11.28515625" style="281" customWidth="1"/>
    <col min="9545" max="9545" width="12.7109375" style="281" customWidth="1"/>
    <col min="9546" max="9546" width="12.140625" style="281" customWidth="1"/>
    <col min="9547" max="9547" width="3.28515625" style="281" customWidth="1"/>
    <col min="9548" max="9552" width="0" style="281" hidden="1" customWidth="1"/>
    <col min="9553" max="9553" width="9.140625" style="281" customWidth="1"/>
    <col min="9554" max="9728" width="9.140625" style="281"/>
    <col min="9729" max="9729" width="2.85546875" style="281" customWidth="1"/>
    <col min="9730" max="9730" width="3.28515625" style="281" customWidth="1"/>
    <col min="9731" max="9731" width="50.7109375" style="281" customWidth="1"/>
    <col min="9732" max="9732" width="8.7109375" style="281" customWidth="1"/>
    <col min="9733" max="9736" width="13.5703125" style="281" customWidth="1"/>
    <col min="9737" max="9737" width="16.85546875" style="281" bestFit="1" customWidth="1"/>
    <col min="9738" max="9762" width="0" style="281" hidden="1" customWidth="1"/>
    <col min="9763" max="9767" width="15.42578125" style="281" customWidth="1"/>
    <col min="9768" max="9797" width="0" style="281" hidden="1" customWidth="1"/>
    <col min="9798" max="9798" width="15.42578125" style="281" customWidth="1"/>
    <col min="9799" max="9799" width="13.140625" style="281" customWidth="1"/>
    <col min="9800" max="9800" width="11.28515625" style="281" customWidth="1"/>
    <col min="9801" max="9801" width="12.7109375" style="281" customWidth="1"/>
    <col min="9802" max="9802" width="12.140625" style="281" customWidth="1"/>
    <col min="9803" max="9803" width="3.28515625" style="281" customWidth="1"/>
    <col min="9804" max="9808" width="0" style="281" hidden="1" customWidth="1"/>
    <col min="9809" max="9809" width="9.140625" style="281" customWidth="1"/>
    <col min="9810" max="9984" width="9.140625" style="281"/>
    <col min="9985" max="9985" width="2.85546875" style="281" customWidth="1"/>
    <col min="9986" max="9986" width="3.28515625" style="281" customWidth="1"/>
    <col min="9987" max="9987" width="50.7109375" style="281" customWidth="1"/>
    <col min="9988" max="9988" width="8.7109375" style="281" customWidth="1"/>
    <col min="9989" max="9992" width="13.5703125" style="281" customWidth="1"/>
    <col min="9993" max="9993" width="16.85546875" style="281" bestFit="1" customWidth="1"/>
    <col min="9994" max="10018" width="0" style="281" hidden="1" customWidth="1"/>
    <col min="10019" max="10023" width="15.42578125" style="281" customWidth="1"/>
    <col min="10024" max="10053" width="0" style="281" hidden="1" customWidth="1"/>
    <col min="10054" max="10054" width="15.42578125" style="281" customWidth="1"/>
    <col min="10055" max="10055" width="13.140625" style="281" customWidth="1"/>
    <col min="10056" max="10056" width="11.28515625" style="281" customWidth="1"/>
    <col min="10057" max="10057" width="12.7109375" style="281" customWidth="1"/>
    <col min="10058" max="10058" width="12.140625" style="281" customWidth="1"/>
    <col min="10059" max="10059" width="3.28515625" style="281" customWidth="1"/>
    <col min="10060" max="10064" width="0" style="281" hidden="1" customWidth="1"/>
    <col min="10065" max="10065" width="9.140625" style="281" customWidth="1"/>
    <col min="10066" max="10240" width="9.140625" style="281"/>
    <col min="10241" max="10241" width="2.85546875" style="281" customWidth="1"/>
    <col min="10242" max="10242" width="3.28515625" style="281" customWidth="1"/>
    <col min="10243" max="10243" width="50.7109375" style="281" customWidth="1"/>
    <col min="10244" max="10244" width="8.7109375" style="281" customWidth="1"/>
    <col min="10245" max="10248" width="13.5703125" style="281" customWidth="1"/>
    <col min="10249" max="10249" width="16.85546875" style="281" bestFit="1" customWidth="1"/>
    <col min="10250" max="10274" width="0" style="281" hidden="1" customWidth="1"/>
    <col min="10275" max="10279" width="15.42578125" style="281" customWidth="1"/>
    <col min="10280" max="10309" width="0" style="281" hidden="1" customWidth="1"/>
    <col min="10310" max="10310" width="15.42578125" style="281" customWidth="1"/>
    <col min="10311" max="10311" width="13.140625" style="281" customWidth="1"/>
    <col min="10312" max="10312" width="11.28515625" style="281" customWidth="1"/>
    <col min="10313" max="10313" width="12.7109375" style="281" customWidth="1"/>
    <col min="10314" max="10314" width="12.140625" style="281" customWidth="1"/>
    <col min="10315" max="10315" width="3.28515625" style="281" customWidth="1"/>
    <col min="10316" max="10320" width="0" style="281" hidden="1" customWidth="1"/>
    <col min="10321" max="10321" width="9.140625" style="281" customWidth="1"/>
    <col min="10322" max="10496" width="9.140625" style="281"/>
    <col min="10497" max="10497" width="2.85546875" style="281" customWidth="1"/>
    <col min="10498" max="10498" width="3.28515625" style="281" customWidth="1"/>
    <col min="10499" max="10499" width="50.7109375" style="281" customWidth="1"/>
    <col min="10500" max="10500" width="8.7109375" style="281" customWidth="1"/>
    <col min="10501" max="10504" width="13.5703125" style="281" customWidth="1"/>
    <col min="10505" max="10505" width="16.85546875" style="281" bestFit="1" customWidth="1"/>
    <col min="10506" max="10530" width="0" style="281" hidden="1" customWidth="1"/>
    <col min="10531" max="10535" width="15.42578125" style="281" customWidth="1"/>
    <col min="10536" max="10565" width="0" style="281" hidden="1" customWidth="1"/>
    <col min="10566" max="10566" width="15.42578125" style="281" customWidth="1"/>
    <col min="10567" max="10567" width="13.140625" style="281" customWidth="1"/>
    <col min="10568" max="10568" width="11.28515625" style="281" customWidth="1"/>
    <col min="10569" max="10569" width="12.7109375" style="281" customWidth="1"/>
    <col min="10570" max="10570" width="12.140625" style="281" customWidth="1"/>
    <col min="10571" max="10571" width="3.28515625" style="281" customWidth="1"/>
    <col min="10572" max="10576" width="0" style="281" hidden="1" customWidth="1"/>
    <col min="10577" max="10577" width="9.140625" style="281" customWidth="1"/>
    <col min="10578" max="10752" width="9.140625" style="281"/>
    <col min="10753" max="10753" width="2.85546875" style="281" customWidth="1"/>
    <col min="10754" max="10754" width="3.28515625" style="281" customWidth="1"/>
    <col min="10755" max="10755" width="50.7109375" style="281" customWidth="1"/>
    <col min="10756" max="10756" width="8.7109375" style="281" customWidth="1"/>
    <col min="10757" max="10760" width="13.5703125" style="281" customWidth="1"/>
    <col min="10761" max="10761" width="16.85546875" style="281" bestFit="1" customWidth="1"/>
    <col min="10762" max="10786" width="0" style="281" hidden="1" customWidth="1"/>
    <col min="10787" max="10791" width="15.42578125" style="281" customWidth="1"/>
    <col min="10792" max="10821" width="0" style="281" hidden="1" customWidth="1"/>
    <col min="10822" max="10822" width="15.42578125" style="281" customWidth="1"/>
    <col min="10823" max="10823" width="13.140625" style="281" customWidth="1"/>
    <col min="10824" max="10824" width="11.28515625" style="281" customWidth="1"/>
    <col min="10825" max="10825" width="12.7109375" style="281" customWidth="1"/>
    <col min="10826" max="10826" width="12.140625" style="281" customWidth="1"/>
    <col min="10827" max="10827" width="3.28515625" style="281" customWidth="1"/>
    <col min="10828" max="10832" width="0" style="281" hidden="1" customWidth="1"/>
    <col min="10833" max="10833" width="9.140625" style="281" customWidth="1"/>
    <col min="10834" max="11008" width="9.140625" style="281"/>
    <col min="11009" max="11009" width="2.85546875" style="281" customWidth="1"/>
    <col min="11010" max="11010" width="3.28515625" style="281" customWidth="1"/>
    <col min="11011" max="11011" width="50.7109375" style="281" customWidth="1"/>
    <col min="11012" max="11012" width="8.7109375" style="281" customWidth="1"/>
    <col min="11013" max="11016" width="13.5703125" style="281" customWidth="1"/>
    <col min="11017" max="11017" width="16.85546875" style="281" bestFit="1" customWidth="1"/>
    <col min="11018" max="11042" width="0" style="281" hidden="1" customWidth="1"/>
    <col min="11043" max="11047" width="15.42578125" style="281" customWidth="1"/>
    <col min="11048" max="11077" width="0" style="281" hidden="1" customWidth="1"/>
    <col min="11078" max="11078" width="15.42578125" style="281" customWidth="1"/>
    <col min="11079" max="11079" width="13.140625" style="281" customWidth="1"/>
    <col min="11080" max="11080" width="11.28515625" style="281" customWidth="1"/>
    <col min="11081" max="11081" width="12.7109375" style="281" customWidth="1"/>
    <col min="11082" max="11082" width="12.140625" style="281" customWidth="1"/>
    <col min="11083" max="11083" width="3.28515625" style="281" customWidth="1"/>
    <col min="11084" max="11088" width="0" style="281" hidden="1" customWidth="1"/>
    <col min="11089" max="11089" width="9.140625" style="281" customWidth="1"/>
    <col min="11090" max="11264" width="9.140625" style="281"/>
    <col min="11265" max="11265" width="2.85546875" style="281" customWidth="1"/>
    <col min="11266" max="11266" width="3.28515625" style="281" customWidth="1"/>
    <col min="11267" max="11267" width="50.7109375" style="281" customWidth="1"/>
    <col min="11268" max="11268" width="8.7109375" style="281" customWidth="1"/>
    <col min="11269" max="11272" width="13.5703125" style="281" customWidth="1"/>
    <col min="11273" max="11273" width="16.85546875" style="281" bestFit="1" customWidth="1"/>
    <col min="11274" max="11298" width="0" style="281" hidden="1" customWidth="1"/>
    <col min="11299" max="11303" width="15.42578125" style="281" customWidth="1"/>
    <col min="11304" max="11333" width="0" style="281" hidden="1" customWidth="1"/>
    <col min="11334" max="11334" width="15.42578125" style="281" customWidth="1"/>
    <col min="11335" max="11335" width="13.140625" style="281" customWidth="1"/>
    <col min="11336" max="11336" width="11.28515625" style="281" customWidth="1"/>
    <col min="11337" max="11337" width="12.7109375" style="281" customWidth="1"/>
    <col min="11338" max="11338" width="12.140625" style="281" customWidth="1"/>
    <col min="11339" max="11339" width="3.28515625" style="281" customWidth="1"/>
    <col min="11340" max="11344" width="0" style="281" hidden="1" customWidth="1"/>
    <col min="11345" max="11345" width="9.140625" style="281" customWidth="1"/>
    <col min="11346" max="11520" width="9.140625" style="281"/>
    <col min="11521" max="11521" width="2.85546875" style="281" customWidth="1"/>
    <col min="11522" max="11522" width="3.28515625" style="281" customWidth="1"/>
    <col min="11523" max="11523" width="50.7109375" style="281" customWidth="1"/>
    <col min="11524" max="11524" width="8.7109375" style="281" customWidth="1"/>
    <col min="11525" max="11528" width="13.5703125" style="281" customWidth="1"/>
    <col min="11529" max="11529" width="16.85546875" style="281" bestFit="1" customWidth="1"/>
    <col min="11530" max="11554" width="0" style="281" hidden="1" customWidth="1"/>
    <col min="11555" max="11559" width="15.42578125" style="281" customWidth="1"/>
    <col min="11560" max="11589" width="0" style="281" hidden="1" customWidth="1"/>
    <col min="11590" max="11590" width="15.42578125" style="281" customWidth="1"/>
    <col min="11591" max="11591" width="13.140625" style="281" customWidth="1"/>
    <col min="11592" max="11592" width="11.28515625" style="281" customWidth="1"/>
    <col min="11593" max="11593" width="12.7109375" style="281" customWidth="1"/>
    <col min="11594" max="11594" width="12.140625" style="281" customWidth="1"/>
    <col min="11595" max="11595" width="3.28515625" style="281" customWidth="1"/>
    <col min="11596" max="11600" width="0" style="281" hidden="1" customWidth="1"/>
    <col min="11601" max="11601" width="9.140625" style="281" customWidth="1"/>
    <col min="11602" max="11776" width="9.140625" style="281"/>
    <col min="11777" max="11777" width="2.85546875" style="281" customWidth="1"/>
    <col min="11778" max="11778" width="3.28515625" style="281" customWidth="1"/>
    <col min="11779" max="11779" width="50.7109375" style="281" customWidth="1"/>
    <col min="11780" max="11780" width="8.7109375" style="281" customWidth="1"/>
    <col min="11781" max="11784" width="13.5703125" style="281" customWidth="1"/>
    <col min="11785" max="11785" width="16.85546875" style="281" bestFit="1" customWidth="1"/>
    <col min="11786" max="11810" width="0" style="281" hidden="1" customWidth="1"/>
    <col min="11811" max="11815" width="15.42578125" style="281" customWidth="1"/>
    <col min="11816" max="11845" width="0" style="281" hidden="1" customWidth="1"/>
    <col min="11846" max="11846" width="15.42578125" style="281" customWidth="1"/>
    <col min="11847" max="11847" width="13.140625" style="281" customWidth="1"/>
    <col min="11848" max="11848" width="11.28515625" style="281" customWidth="1"/>
    <col min="11849" max="11849" width="12.7109375" style="281" customWidth="1"/>
    <col min="11850" max="11850" width="12.140625" style="281" customWidth="1"/>
    <col min="11851" max="11851" width="3.28515625" style="281" customWidth="1"/>
    <col min="11852" max="11856" width="0" style="281" hidden="1" customWidth="1"/>
    <col min="11857" max="11857" width="9.140625" style="281" customWidth="1"/>
    <col min="11858" max="12032" width="9.140625" style="281"/>
    <col min="12033" max="12033" width="2.85546875" style="281" customWidth="1"/>
    <col min="12034" max="12034" width="3.28515625" style="281" customWidth="1"/>
    <col min="12035" max="12035" width="50.7109375" style="281" customWidth="1"/>
    <col min="12036" max="12036" width="8.7109375" style="281" customWidth="1"/>
    <col min="12037" max="12040" width="13.5703125" style="281" customWidth="1"/>
    <col min="12041" max="12041" width="16.85546875" style="281" bestFit="1" customWidth="1"/>
    <col min="12042" max="12066" width="0" style="281" hidden="1" customWidth="1"/>
    <col min="12067" max="12071" width="15.42578125" style="281" customWidth="1"/>
    <col min="12072" max="12101" width="0" style="281" hidden="1" customWidth="1"/>
    <col min="12102" max="12102" width="15.42578125" style="281" customWidth="1"/>
    <col min="12103" max="12103" width="13.140625" style="281" customWidth="1"/>
    <col min="12104" max="12104" width="11.28515625" style="281" customWidth="1"/>
    <col min="12105" max="12105" width="12.7109375" style="281" customWidth="1"/>
    <col min="12106" max="12106" width="12.140625" style="281" customWidth="1"/>
    <col min="12107" max="12107" width="3.28515625" style="281" customWidth="1"/>
    <col min="12108" max="12112" width="0" style="281" hidden="1" customWidth="1"/>
    <col min="12113" max="12113" width="9.140625" style="281" customWidth="1"/>
    <col min="12114" max="12288" width="9.140625" style="281"/>
    <col min="12289" max="12289" width="2.85546875" style="281" customWidth="1"/>
    <col min="12290" max="12290" width="3.28515625" style="281" customWidth="1"/>
    <col min="12291" max="12291" width="50.7109375" style="281" customWidth="1"/>
    <col min="12292" max="12292" width="8.7109375" style="281" customWidth="1"/>
    <col min="12293" max="12296" width="13.5703125" style="281" customWidth="1"/>
    <col min="12297" max="12297" width="16.85546875" style="281" bestFit="1" customWidth="1"/>
    <col min="12298" max="12322" width="0" style="281" hidden="1" customWidth="1"/>
    <col min="12323" max="12327" width="15.42578125" style="281" customWidth="1"/>
    <col min="12328" max="12357" width="0" style="281" hidden="1" customWidth="1"/>
    <col min="12358" max="12358" width="15.42578125" style="281" customWidth="1"/>
    <col min="12359" max="12359" width="13.140625" style="281" customWidth="1"/>
    <col min="12360" max="12360" width="11.28515625" style="281" customWidth="1"/>
    <col min="12361" max="12361" width="12.7109375" style="281" customWidth="1"/>
    <col min="12362" max="12362" width="12.140625" style="281" customWidth="1"/>
    <col min="12363" max="12363" width="3.28515625" style="281" customWidth="1"/>
    <col min="12364" max="12368" width="0" style="281" hidden="1" customWidth="1"/>
    <col min="12369" max="12369" width="9.140625" style="281" customWidth="1"/>
    <col min="12370" max="12544" width="9.140625" style="281"/>
    <col min="12545" max="12545" width="2.85546875" style="281" customWidth="1"/>
    <col min="12546" max="12546" width="3.28515625" style="281" customWidth="1"/>
    <col min="12547" max="12547" width="50.7109375" style="281" customWidth="1"/>
    <col min="12548" max="12548" width="8.7109375" style="281" customWidth="1"/>
    <col min="12549" max="12552" width="13.5703125" style="281" customWidth="1"/>
    <col min="12553" max="12553" width="16.85546875" style="281" bestFit="1" customWidth="1"/>
    <col min="12554" max="12578" width="0" style="281" hidden="1" customWidth="1"/>
    <col min="12579" max="12583" width="15.42578125" style="281" customWidth="1"/>
    <col min="12584" max="12613" width="0" style="281" hidden="1" customWidth="1"/>
    <col min="12614" max="12614" width="15.42578125" style="281" customWidth="1"/>
    <col min="12615" max="12615" width="13.140625" style="281" customWidth="1"/>
    <col min="12616" max="12616" width="11.28515625" style="281" customWidth="1"/>
    <col min="12617" max="12617" width="12.7109375" style="281" customWidth="1"/>
    <col min="12618" max="12618" width="12.140625" style="281" customWidth="1"/>
    <col min="12619" max="12619" width="3.28515625" style="281" customWidth="1"/>
    <col min="12620" max="12624" width="0" style="281" hidden="1" customWidth="1"/>
    <col min="12625" max="12625" width="9.140625" style="281" customWidth="1"/>
    <col min="12626" max="12800" width="9.140625" style="281"/>
    <col min="12801" max="12801" width="2.85546875" style="281" customWidth="1"/>
    <col min="12802" max="12802" width="3.28515625" style="281" customWidth="1"/>
    <col min="12803" max="12803" width="50.7109375" style="281" customWidth="1"/>
    <col min="12804" max="12804" width="8.7109375" style="281" customWidth="1"/>
    <col min="12805" max="12808" width="13.5703125" style="281" customWidth="1"/>
    <col min="12809" max="12809" width="16.85546875" style="281" bestFit="1" customWidth="1"/>
    <col min="12810" max="12834" width="0" style="281" hidden="1" customWidth="1"/>
    <col min="12835" max="12839" width="15.42578125" style="281" customWidth="1"/>
    <col min="12840" max="12869" width="0" style="281" hidden="1" customWidth="1"/>
    <col min="12870" max="12870" width="15.42578125" style="281" customWidth="1"/>
    <col min="12871" max="12871" width="13.140625" style="281" customWidth="1"/>
    <col min="12872" max="12872" width="11.28515625" style="281" customWidth="1"/>
    <col min="12873" max="12873" width="12.7109375" style="281" customWidth="1"/>
    <col min="12874" max="12874" width="12.140625" style="281" customWidth="1"/>
    <col min="12875" max="12875" width="3.28515625" style="281" customWidth="1"/>
    <col min="12876" max="12880" width="0" style="281" hidden="1" customWidth="1"/>
    <col min="12881" max="12881" width="9.140625" style="281" customWidth="1"/>
    <col min="12882" max="13056" width="9.140625" style="281"/>
    <col min="13057" max="13057" width="2.85546875" style="281" customWidth="1"/>
    <col min="13058" max="13058" width="3.28515625" style="281" customWidth="1"/>
    <col min="13059" max="13059" width="50.7109375" style="281" customWidth="1"/>
    <col min="13060" max="13060" width="8.7109375" style="281" customWidth="1"/>
    <col min="13061" max="13064" width="13.5703125" style="281" customWidth="1"/>
    <col min="13065" max="13065" width="16.85546875" style="281" bestFit="1" customWidth="1"/>
    <col min="13066" max="13090" width="0" style="281" hidden="1" customWidth="1"/>
    <col min="13091" max="13095" width="15.42578125" style="281" customWidth="1"/>
    <col min="13096" max="13125" width="0" style="281" hidden="1" customWidth="1"/>
    <col min="13126" max="13126" width="15.42578125" style="281" customWidth="1"/>
    <col min="13127" max="13127" width="13.140625" style="281" customWidth="1"/>
    <col min="13128" max="13128" width="11.28515625" style="281" customWidth="1"/>
    <col min="13129" max="13129" width="12.7109375" style="281" customWidth="1"/>
    <col min="13130" max="13130" width="12.140625" style="281" customWidth="1"/>
    <col min="13131" max="13131" width="3.28515625" style="281" customWidth="1"/>
    <col min="13132" max="13136" width="0" style="281" hidden="1" customWidth="1"/>
    <col min="13137" max="13137" width="9.140625" style="281" customWidth="1"/>
    <col min="13138" max="13312" width="9.140625" style="281"/>
    <col min="13313" max="13313" width="2.85546875" style="281" customWidth="1"/>
    <col min="13314" max="13314" width="3.28515625" style="281" customWidth="1"/>
    <col min="13315" max="13315" width="50.7109375" style="281" customWidth="1"/>
    <col min="13316" max="13316" width="8.7109375" style="281" customWidth="1"/>
    <col min="13317" max="13320" width="13.5703125" style="281" customWidth="1"/>
    <col min="13321" max="13321" width="16.85546875" style="281" bestFit="1" customWidth="1"/>
    <col min="13322" max="13346" width="0" style="281" hidden="1" customWidth="1"/>
    <col min="13347" max="13351" width="15.42578125" style="281" customWidth="1"/>
    <col min="13352" max="13381" width="0" style="281" hidden="1" customWidth="1"/>
    <col min="13382" max="13382" width="15.42578125" style="281" customWidth="1"/>
    <col min="13383" max="13383" width="13.140625" style="281" customWidth="1"/>
    <col min="13384" max="13384" width="11.28515625" style="281" customWidth="1"/>
    <col min="13385" max="13385" width="12.7109375" style="281" customWidth="1"/>
    <col min="13386" max="13386" width="12.140625" style="281" customWidth="1"/>
    <col min="13387" max="13387" width="3.28515625" style="281" customWidth="1"/>
    <col min="13388" max="13392" width="0" style="281" hidden="1" customWidth="1"/>
    <col min="13393" max="13393" width="9.140625" style="281" customWidth="1"/>
    <col min="13394" max="13568" width="9.140625" style="281"/>
    <col min="13569" max="13569" width="2.85546875" style="281" customWidth="1"/>
    <col min="13570" max="13570" width="3.28515625" style="281" customWidth="1"/>
    <col min="13571" max="13571" width="50.7109375" style="281" customWidth="1"/>
    <col min="13572" max="13572" width="8.7109375" style="281" customWidth="1"/>
    <col min="13573" max="13576" width="13.5703125" style="281" customWidth="1"/>
    <col min="13577" max="13577" width="16.85546875" style="281" bestFit="1" customWidth="1"/>
    <col min="13578" max="13602" width="0" style="281" hidden="1" customWidth="1"/>
    <col min="13603" max="13607" width="15.42578125" style="281" customWidth="1"/>
    <col min="13608" max="13637" width="0" style="281" hidden="1" customWidth="1"/>
    <col min="13638" max="13638" width="15.42578125" style="281" customWidth="1"/>
    <col min="13639" max="13639" width="13.140625" style="281" customWidth="1"/>
    <col min="13640" max="13640" width="11.28515625" style="281" customWidth="1"/>
    <col min="13641" max="13641" width="12.7109375" style="281" customWidth="1"/>
    <col min="13642" max="13642" width="12.140625" style="281" customWidth="1"/>
    <col min="13643" max="13643" width="3.28515625" style="281" customWidth="1"/>
    <col min="13644" max="13648" width="0" style="281" hidden="1" customWidth="1"/>
    <col min="13649" max="13649" width="9.140625" style="281" customWidth="1"/>
    <col min="13650" max="13824" width="9.140625" style="281"/>
    <col min="13825" max="13825" width="2.85546875" style="281" customWidth="1"/>
    <col min="13826" max="13826" width="3.28515625" style="281" customWidth="1"/>
    <col min="13827" max="13827" width="50.7109375" style="281" customWidth="1"/>
    <col min="13828" max="13828" width="8.7109375" style="281" customWidth="1"/>
    <col min="13829" max="13832" width="13.5703125" style="281" customWidth="1"/>
    <col min="13833" max="13833" width="16.85546875" style="281" bestFit="1" customWidth="1"/>
    <col min="13834" max="13858" width="0" style="281" hidden="1" customWidth="1"/>
    <col min="13859" max="13863" width="15.42578125" style="281" customWidth="1"/>
    <col min="13864" max="13893" width="0" style="281" hidden="1" customWidth="1"/>
    <col min="13894" max="13894" width="15.42578125" style="281" customWidth="1"/>
    <col min="13895" max="13895" width="13.140625" style="281" customWidth="1"/>
    <col min="13896" max="13896" width="11.28515625" style="281" customWidth="1"/>
    <col min="13897" max="13897" width="12.7109375" style="281" customWidth="1"/>
    <col min="13898" max="13898" width="12.140625" style="281" customWidth="1"/>
    <col min="13899" max="13899" width="3.28515625" style="281" customWidth="1"/>
    <col min="13900" max="13904" width="0" style="281" hidden="1" customWidth="1"/>
    <col min="13905" max="13905" width="9.140625" style="281" customWidth="1"/>
    <col min="13906" max="14080" width="9.140625" style="281"/>
    <col min="14081" max="14081" width="2.85546875" style="281" customWidth="1"/>
    <col min="14082" max="14082" width="3.28515625" style="281" customWidth="1"/>
    <col min="14083" max="14083" width="50.7109375" style="281" customWidth="1"/>
    <col min="14084" max="14084" width="8.7109375" style="281" customWidth="1"/>
    <col min="14085" max="14088" width="13.5703125" style="281" customWidth="1"/>
    <col min="14089" max="14089" width="16.85546875" style="281" bestFit="1" customWidth="1"/>
    <col min="14090" max="14114" width="0" style="281" hidden="1" customWidth="1"/>
    <col min="14115" max="14119" width="15.42578125" style="281" customWidth="1"/>
    <col min="14120" max="14149" width="0" style="281" hidden="1" customWidth="1"/>
    <col min="14150" max="14150" width="15.42578125" style="281" customWidth="1"/>
    <col min="14151" max="14151" width="13.140625" style="281" customWidth="1"/>
    <col min="14152" max="14152" width="11.28515625" style="281" customWidth="1"/>
    <col min="14153" max="14153" width="12.7109375" style="281" customWidth="1"/>
    <col min="14154" max="14154" width="12.140625" style="281" customWidth="1"/>
    <col min="14155" max="14155" width="3.28515625" style="281" customWidth="1"/>
    <col min="14156" max="14160" width="0" style="281" hidden="1" customWidth="1"/>
    <col min="14161" max="14161" width="9.140625" style="281" customWidth="1"/>
    <col min="14162" max="14336" width="9.140625" style="281"/>
    <col min="14337" max="14337" width="2.85546875" style="281" customWidth="1"/>
    <col min="14338" max="14338" width="3.28515625" style="281" customWidth="1"/>
    <col min="14339" max="14339" width="50.7109375" style="281" customWidth="1"/>
    <col min="14340" max="14340" width="8.7109375" style="281" customWidth="1"/>
    <col min="14341" max="14344" width="13.5703125" style="281" customWidth="1"/>
    <col min="14345" max="14345" width="16.85546875" style="281" bestFit="1" customWidth="1"/>
    <col min="14346" max="14370" width="0" style="281" hidden="1" customWidth="1"/>
    <col min="14371" max="14375" width="15.42578125" style="281" customWidth="1"/>
    <col min="14376" max="14405" width="0" style="281" hidden="1" customWidth="1"/>
    <col min="14406" max="14406" width="15.42578125" style="281" customWidth="1"/>
    <col min="14407" max="14407" width="13.140625" style="281" customWidth="1"/>
    <col min="14408" max="14408" width="11.28515625" style="281" customWidth="1"/>
    <col min="14409" max="14409" width="12.7109375" style="281" customWidth="1"/>
    <col min="14410" max="14410" width="12.140625" style="281" customWidth="1"/>
    <col min="14411" max="14411" width="3.28515625" style="281" customWidth="1"/>
    <col min="14412" max="14416" width="0" style="281" hidden="1" customWidth="1"/>
    <col min="14417" max="14417" width="9.140625" style="281" customWidth="1"/>
    <col min="14418" max="14592" width="9.140625" style="281"/>
    <col min="14593" max="14593" width="2.85546875" style="281" customWidth="1"/>
    <col min="14594" max="14594" width="3.28515625" style="281" customWidth="1"/>
    <col min="14595" max="14595" width="50.7109375" style="281" customWidth="1"/>
    <col min="14596" max="14596" width="8.7109375" style="281" customWidth="1"/>
    <col min="14597" max="14600" width="13.5703125" style="281" customWidth="1"/>
    <col min="14601" max="14601" width="16.85546875" style="281" bestFit="1" customWidth="1"/>
    <col min="14602" max="14626" width="0" style="281" hidden="1" customWidth="1"/>
    <col min="14627" max="14631" width="15.42578125" style="281" customWidth="1"/>
    <col min="14632" max="14661" width="0" style="281" hidden="1" customWidth="1"/>
    <col min="14662" max="14662" width="15.42578125" style="281" customWidth="1"/>
    <col min="14663" max="14663" width="13.140625" style="281" customWidth="1"/>
    <col min="14664" max="14664" width="11.28515625" style="281" customWidth="1"/>
    <col min="14665" max="14665" width="12.7109375" style="281" customWidth="1"/>
    <col min="14666" max="14666" width="12.140625" style="281" customWidth="1"/>
    <col min="14667" max="14667" width="3.28515625" style="281" customWidth="1"/>
    <col min="14668" max="14672" width="0" style="281" hidden="1" customWidth="1"/>
    <col min="14673" max="14673" width="9.140625" style="281" customWidth="1"/>
    <col min="14674" max="14848" width="9.140625" style="281"/>
    <col min="14849" max="14849" width="2.85546875" style="281" customWidth="1"/>
    <col min="14850" max="14850" width="3.28515625" style="281" customWidth="1"/>
    <col min="14851" max="14851" width="50.7109375" style="281" customWidth="1"/>
    <col min="14852" max="14852" width="8.7109375" style="281" customWidth="1"/>
    <col min="14853" max="14856" width="13.5703125" style="281" customWidth="1"/>
    <col min="14857" max="14857" width="16.85546875" style="281" bestFit="1" customWidth="1"/>
    <col min="14858" max="14882" width="0" style="281" hidden="1" customWidth="1"/>
    <col min="14883" max="14887" width="15.42578125" style="281" customWidth="1"/>
    <col min="14888" max="14917" width="0" style="281" hidden="1" customWidth="1"/>
    <col min="14918" max="14918" width="15.42578125" style="281" customWidth="1"/>
    <col min="14919" max="14919" width="13.140625" style="281" customWidth="1"/>
    <col min="14920" max="14920" width="11.28515625" style="281" customWidth="1"/>
    <col min="14921" max="14921" width="12.7109375" style="281" customWidth="1"/>
    <col min="14922" max="14922" width="12.140625" style="281" customWidth="1"/>
    <col min="14923" max="14923" width="3.28515625" style="281" customWidth="1"/>
    <col min="14924" max="14928" width="0" style="281" hidden="1" customWidth="1"/>
    <col min="14929" max="14929" width="9.140625" style="281" customWidth="1"/>
    <col min="14930" max="15104" width="9.140625" style="281"/>
    <col min="15105" max="15105" width="2.85546875" style="281" customWidth="1"/>
    <col min="15106" max="15106" width="3.28515625" style="281" customWidth="1"/>
    <col min="15107" max="15107" width="50.7109375" style="281" customWidth="1"/>
    <col min="15108" max="15108" width="8.7109375" style="281" customWidth="1"/>
    <col min="15109" max="15112" width="13.5703125" style="281" customWidth="1"/>
    <col min="15113" max="15113" width="16.85546875" style="281" bestFit="1" customWidth="1"/>
    <col min="15114" max="15138" width="0" style="281" hidden="1" customWidth="1"/>
    <col min="15139" max="15143" width="15.42578125" style="281" customWidth="1"/>
    <col min="15144" max="15173" width="0" style="281" hidden="1" customWidth="1"/>
    <col min="15174" max="15174" width="15.42578125" style="281" customWidth="1"/>
    <col min="15175" max="15175" width="13.140625" style="281" customWidth="1"/>
    <col min="15176" max="15176" width="11.28515625" style="281" customWidth="1"/>
    <col min="15177" max="15177" width="12.7109375" style="281" customWidth="1"/>
    <col min="15178" max="15178" width="12.140625" style="281" customWidth="1"/>
    <col min="15179" max="15179" width="3.28515625" style="281" customWidth="1"/>
    <col min="15180" max="15184" width="0" style="281" hidden="1" customWidth="1"/>
    <col min="15185" max="15185" width="9.140625" style="281" customWidth="1"/>
    <col min="15186" max="15360" width="9.140625" style="281"/>
    <col min="15361" max="15361" width="2.85546875" style="281" customWidth="1"/>
    <col min="15362" max="15362" width="3.28515625" style="281" customWidth="1"/>
    <col min="15363" max="15363" width="50.7109375" style="281" customWidth="1"/>
    <col min="15364" max="15364" width="8.7109375" style="281" customWidth="1"/>
    <col min="15365" max="15368" width="13.5703125" style="281" customWidth="1"/>
    <col min="15369" max="15369" width="16.85546875" style="281" bestFit="1" customWidth="1"/>
    <col min="15370" max="15394" width="0" style="281" hidden="1" customWidth="1"/>
    <col min="15395" max="15399" width="15.42578125" style="281" customWidth="1"/>
    <col min="15400" max="15429" width="0" style="281" hidden="1" customWidth="1"/>
    <col min="15430" max="15430" width="15.42578125" style="281" customWidth="1"/>
    <col min="15431" max="15431" width="13.140625" style="281" customWidth="1"/>
    <col min="15432" max="15432" width="11.28515625" style="281" customWidth="1"/>
    <col min="15433" max="15433" width="12.7109375" style="281" customWidth="1"/>
    <col min="15434" max="15434" width="12.140625" style="281" customWidth="1"/>
    <col min="15435" max="15435" width="3.28515625" style="281" customWidth="1"/>
    <col min="15436" max="15440" width="0" style="281" hidden="1" customWidth="1"/>
    <col min="15441" max="15441" width="9.140625" style="281" customWidth="1"/>
    <col min="15442" max="15616" width="9.140625" style="281"/>
    <col min="15617" max="15617" width="2.85546875" style="281" customWidth="1"/>
    <col min="15618" max="15618" width="3.28515625" style="281" customWidth="1"/>
    <col min="15619" max="15619" width="50.7109375" style="281" customWidth="1"/>
    <col min="15620" max="15620" width="8.7109375" style="281" customWidth="1"/>
    <col min="15621" max="15624" width="13.5703125" style="281" customWidth="1"/>
    <col min="15625" max="15625" width="16.85546875" style="281" bestFit="1" customWidth="1"/>
    <col min="15626" max="15650" width="0" style="281" hidden="1" customWidth="1"/>
    <col min="15651" max="15655" width="15.42578125" style="281" customWidth="1"/>
    <col min="15656" max="15685" width="0" style="281" hidden="1" customWidth="1"/>
    <col min="15686" max="15686" width="15.42578125" style="281" customWidth="1"/>
    <col min="15687" max="15687" width="13.140625" style="281" customWidth="1"/>
    <col min="15688" max="15688" width="11.28515625" style="281" customWidth="1"/>
    <col min="15689" max="15689" width="12.7109375" style="281" customWidth="1"/>
    <col min="15690" max="15690" width="12.140625" style="281" customWidth="1"/>
    <col min="15691" max="15691" width="3.28515625" style="281" customWidth="1"/>
    <col min="15692" max="15696" width="0" style="281" hidden="1" customWidth="1"/>
    <col min="15697" max="15697" width="9.140625" style="281" customWidth="1"/>
    <col min="15698" max="15872" width="9.140625" style="281"/>
    <col min="15873" max="15873" width="2.85546875" style="281" customWidth="1"/>
    <col min="15874" max="15874" width="3.28515625" style="281" customWidth="1"/>
    <col min="15875" max="15875" width="50.7109375" style="281" customWidth="1"/>
    <col min="15876" max="15876" width="8.7109375" style="281" customWidth="1"/>
    <col min="15877" max="15880" width="13.5703125" style="281" customWidth="1"/>
    <col min="15881" max="15881" width="16.85546875" style="281" bestFit="1" customWidth="1"/>
    <col min="15882" max="15906" width="0" style="281" hidden="1" customWidth="1"/>
    <col min="15907" max="15911" width="15.42578125" style="281" customWidth="1"/>
    <col min="15912" max="15941" width="0" style="281" hidden="1" customWidth="1"/>
    <col min="15942" max="15942" width="15.42578125" style="281" customWidth="1"/>
    <col min="15943" max="15943" width="13.140625" style="281" customWidth="1"/>
    <col min="15944" max="15944" width="11.28515625" style="281" customWidth="1"/>
    <col min="15945" max="15945" width="12.7109375" style="281" customWidth="1"/>
    <col min="15946" max="15946" width="12.140625" style="281" customWidth="1"/>
    <col min="15947" max="15947" width="3.28515625" style="281" customWidth="1"/>
    <col min="15948" max="15952" width="0" style="281" hidden="1" customWidth="1"/>
    <col min="15953" max="15953" width="9.140625" style="281" customWidth="1"/>
    <col min="15954" max="16128" width="9.140625" style="281"/>
    <col min="16129" max="16129" width="2.85546875" style="281" customWidth="1"/>
    <col min="16130" max="16130" width="3.28515625" style="281" customWidth="1"/>
    <col min="16131" max="16131" width="50.7109375" style="281" customWidth="1"/>
    <col min="16132" max="16132" width="8.7109375" style="281" customWidth="1"/>
    <col min="16133" max="16136" width="13.5703125" style="281" customWidth="1"/>
    <col min="16137" max="16137" width="16.85546875" style="281" bestFit="1" customWidth="1"/>
    <col min="16138" max="16162" width="0" style="281" hidden="1" customWidth="1"/>
    <col min="16163" max="16167" width="15.42578125" style="281" customWidth="1"/>
    <col min="16168" max="16197" width="0" style="281" hidden="1" customWidth="1"/>
    <col min="16198" max="16198" width="15.42578125" style="281" customWidth="1"/>
    <col min="16199" max="16199" width="13.140625" style="281" customWidth="1"/>
    <col min="16200" max="16200" width="11.28515625" style="281" customWidth="1"/>
    <col min="16201" max="16201" width="12.7109375" style="281" customWidth="1"/>
    <col min="16202" max="16202" width="12.140625" style="281" customWidth="1"/>
    <col min="16203" max="16203" width="3.28515625" style="281" customWidth="1"/>
    <col min="16204" max="16208" width="0" style="281" hidden="1" customWidth="1"/>
    <col min="16209" max="16209" width="9.140625" style="281" customWidth="1"/>
    <col min="16210" max="16384" width="9.140625" style="281"/>
  </cols>
  <sheetData>
    <row r="1" spans="1:80" ht="15.75" x14ac:dyDescent="0.25">
      <c r="A1" s="275" t="s">
        <v>209</v>
      </c>
      <c r="B1" s="276"/>
      <c r="C1" s="277"/>
      <c r="D1" s="278"/>
      <c r="E1" s="279"/>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80"/>
      <c r="BY1" s="285"/>
      <c r="BZ1" s="285"/>
    </row>
    <row r="2" spans="1:80" ht="15" x14ac:dyDescent="0.25">
      <c r="A2" s="282"/>
      <c r="B2" s="278"/>
      <c r="D2" s="283"/>
      <c r="E2" s="721" t="s">
        <v>3</v>
      </c>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3"/>
      <c r="BW2" s="284"/>
      <c r="BY2" s="285"/>
      <c r="BZ2" s="285"/>
    </row>
    <row r="3" spans="1:80" ht="15" x14ac:dyDescent="0.25">
      <c r="A3" s="286"/>
      <c r="B3" s="278"/>
      <c r="C3" s="280" t="s">
        <v>210</v>
      </c>
      <c r="D3" s="287"/>
      <c r="E3" s="716" t="s">
        <v>211</v>
      </c>
      <c r="F3" s="717"/>
      <c r="G3" s="717"/>
      <c r="H3" s="717"/>
      <c r="I3" s="718"/>
      <c r="J3" s="716" t="s">
        <v>6</v>
      </c>
      <c r="K3" s="717"/>
      <c r="L3" s="717"/>
      <c r="M3" s="717"/>
      <c r="N3" s="718"/>
      <c r="O3" s="724" t="s">
        <v>7</v>
      </c>
      <c r="P3" s="717"/>
      <c r="Q3" s="717"/>
      <c r="R3" s="717"/>
      <c r="S3" s="718"/>
      <c r="T3" s="716" t="s">
        <v>8</v>
      </c>
      <c r="U3" s="717"/>
      <c r="V3" s="717"/>
      <c r="W3" s="717"/>
      <c r="X3" s="718"/>
      <c r="Y3" s="716" t="s">
        <v>9</v>
      </c>
      <c r="Z3" s="717"/>
      <c r="AA3" s="717"/>
      <c r="AB3" s="717"/>
      <c r="AC3" s="718"/>
      <c r="AD3" s="716" t="s">
        <v>10</v>
      </c>
      <c r="AE3" s="717"/>
      <c r="AF3" s="717"/>
      <c r="AG3" s="717"/>
      <c r="AH3" s="718"/>
      <c r="AI3" s="716" t="s">
        <v>11</v>
      </c>
      <c r="AJ3" s="717"/>
      <c r="AK3" s="717"/>
      <c r="AL3" s="717"/>
      <c r="AM3" s="718"/>
      <c r="AN3" s="716" t="s">
        <v>12</v>
      </c>
      <c r="AO3" s="717"/>
      <c r="AP3" s="717"/>
      <c r="AQ3" s="717"/>
      <c r="AR3" s="718"/>
      <c r="AS3" s="716" t="s">
        <v>13</v>
      </c>
      <c r="AT3" s="717"/>
      <c r="AU3" s="717"/>
      <c r="AV3" s="717"/>
      <c r="AW3" s="718"/>
      <c r="AX3" s="716" t="s">
        <v>14</v>
      </c>
      <c r="AY3" s="717"/>
      <c r="AZ3" s="717"/>
      <c r="BA3" s="717"/>
      <c r="BB3" s="718"/>
      <c r="BC3" s="716" t="s">
        <v>15</v>
      </c>
      <c r="BD3" s="717"/>
      <c r="BE3" s="717"/>
      <c r="BF3" s="717"/>
      <c r="BG3" s="718"/>
      <c r="BH3" s="716" t="s">
        <v>16</v>
      </c>
      <c r="BI3" s="717"/>
      <c r="BJ3" s="717"/>
      <c r="BK3" s="717"/>
      <c r="BL3" s="718"/>
      <c r="BM3" s="716" t="s">
        <v>17</v>
      </c>
      <c r="BN3" s="717"/>
      <c r="BO3" s="717"/>
      <c r="BP3" s="717"/>
      <c r="BQ3" s="718"/>
      <c r="BR3" s="716" t="s">
        <v>18</v>
      </c>
      <c r="BS3" s="717"/>
      <c r="BT3" s="717"/>
      <c r="BU3" s="717"/>
      <c r="BV3" s="719"/>
      <c r="BW3" s="288"/>
      <c r="BY3" s="285"/>
      <c r="BZ3" s="285"/>
    </row>
    <row r="4" spans="1:80" x14ac:dyDescent="0.2">
      <c r="A4" s="286"/>
      <c r="B4" s="278"/>
      <c r="D4" s="287"/>
      <c r="E4" s="289" t="s">
        <v>212</v>
      </c>
      <c r="F4" s="290" t="s">
        <v>213</v>
      </c>
      <c r="G4" s="290" t="s">
        <v>214</v>
      </c>
      <c r="H4" s="290" t="s">
        <v>215</v>
      </c>
      <c r="I4" s="291" t="s">
        <v>216</v>
      </c>
      <c r="J4" s="289" t="s">
        <v>212</v>
      </c>
      <c r="K4" s="290" t="s">
        <v>213</v>
      </c>
      <c r="L4" s="290" t="s">
        <v>214</v>
      </c>
      <c r="M4" s="290" t="s">
        <v>215</v>
      </c>
      <c r="N4" s="292" t="s">
        <v>216</v>
      </c>
      <c r="O4" s="290" t="s">
        <v>212</v>
      </c>
      <c r="P4" s="290" t="s">
        <v>213</v>
      </c>
      <c r="Q4" s="290" t="s">
        <v>214</v>
      </c>
      <c r="R4" s="290" t="s">
        <v>215</v>
      </c>
      <c r="S4" s="292" t="s">
        <v>216</v>
      </c>
      <c r="T4" s="289" t="s">
        <v>212</v>
      </c>
      <c r="U4" s="290" t="s">
        <v>213</v>
      </c>
      <c r="V4" s="290" t="s">
        <v>214</v>
      </c>
      <c r="W4" s="290" t="s">
        <v>215</v>
      </c>
      <c r="X4" s="292" t="s">
        <v>216</v>
      </c>
      <c r="Y4" s="289" t="s">
        <v>212</v>
      </c>
      <c r="Z4" s="290" t="s">
        <v>213</v>
      </c>
      <c r="AA4" s="290" t="s">
        <v>214</v>
      </c>
      <c r="AB4" s="290" t="s">
        <v>215</v>
      </c>
      <c r="AC4" s="292" t="s">
        <v>216</v>
      </c>
      <c r="AD4" s="289" t="s">
        <v>212</v>
      </c>
      <c r="AE4" s="290" t="s">
        <v>213</v>
      </c>
      <c r="AF4" s="290" t="s">
        <v>214</v>
      </c>
      <c r="AG4" s="290" t="s">
        <v>215</v>
      </c>
      <c r="AH4" s="292" t="s">
        <v>216</v>
      </c>
      <c r="AI4" s="289" t="s">
        <v>212</v>
      </c>
      <c r="AJ4" s="290" t="s">
        <v>213</v>
      </c>
      <c r="AK4" s="290" t="s">
        <v>214</v>
      </c>
      <c r="AL4" s="290" t="s">
        <v>215</v>
      </c>
      <c r="AM4" s="292" t="s">
        <v>216</v>
      </c>
      <c r="AN4" s="289" t="s">
        <v>212</v>
      </c>
      <c r="AO4" s="290" t="s">
        <v>213</v>
      </c>
      <c r="AP4" s="290" t="s">
        <v>214</v>
      </c>
      <c r="AQ4" s="290" t="s">
        <v>215</v>
      </c>
      <c r="AR4" s="292" t="s">
        <v>216</v>
      </c>
      <c r="AS4" s="289" t="s">
        <v>212</v>
      </c>
      <c r="AT4" s="290" t="s">
        <v>213</v>
      </c>
      <c r="AU4" s="290" t="s">
        <v>214</v>
      </c>
      <c r="AV4" s="290" t="s">
        <v>215</v>
      </c>
      <c r="AW4" s="292" t="s">
        <v>216</v>
      </c>
      <c r="AX4" s="289" t="s">
        <v>212</v>
      </c>
      <c r="AY4" s="290" t="s">
        <v>213</v>
      </c>
      <c r="AZ4" s="290" t="s">
        <v>214</v>
      </c>
      <c r="BA4" s="290" t="s">
        <v>215</v>
      </c>
      <c r="BB4" s="292" t="s">
        <v>216</v>
      </c>
      <c r="BC4" s="289" t="s">
        <v>212</v>
      </c>
      <c r="BD4" s="290" t="s">
        <v>213</v>
      </c>
      <c r="BE4" s="290" t="s">
        <v>214</v>
      </c>
      <c r="BF4" s="290" t="s">
        <v>215</v>
      </c>
      <c r="BG4" s="292" t="s">
        <v>216</v>
      </c>
      <c r="BH4" s="289" t="s">
        <v>212</v>
      </c>
      <c r="BI4" s="290" t="s">
        <v>213</v>
      </c>
      <c r="BJ4" s="290" t="s">
        <v>214</v>
      </c>
      <c r="BK4" s="290" t="s">
        <v>217</v>
      </c>
      <c r="BL4" s="292" t="s">
        <v>216</v>
      </c>
      <c r="BM4" s="289" t="s">
        <v>212</v>
      </c>
      <c r="BN4" s="290" t="s">
        <v>213</v>
      </c>
      <c r="BO4" s="290" t="s">
        <v>214</v>
      </c>
      <c r="BP4" s="290" t="s">
        <v>215</v>
      </c>
      <c r="BQ4" s="292" t="s">
        <v>216</v>
      </c>
      <c r="BR4" s="289" t="s">
        <v>212</v>
      </c>
      <c r="BS4" s="290" t="s">
        <v>213</v>
      </c>
      <c r="BT4" s="290" t="s">
        <v>214</v>
      </c>
      <c r="BU4" s="290" t="s">
        <v>215</v>
      </c>
      <c r="BV4" s="677" t="s">
        <v>216</v>
      </c>
      <c r="BW4" s="284"/>
      <c r="BY4" s="285"/>
      <c r="BZ4" s="285"/>
    </row>
    <row r="5" spans="1:80" x14ac:dyDescent="0.2">
      <c r="A5" s="294" t="s">
        <v>20</v>
      </c>
      <c r="B5" s="295"/>
      <c r="C5" s="295"/>
      <c r="D5" s="296"/>
      <c r="E5" s="297" t="s">
        <v>218</v>
      </c>
      <c r="F5" s="30" t="s">
        <v>219</v>
      </c>
      <c r="G5" s="30" t="s">
        <v>220</v>
      </c>
      <c r="H5" s="30" t="s">
        <v>221</v>
      </c>
      <c r="I5" s="298"/>
      <c r="J5" s="297" t="s">
        <v>218</v>
      </c>
      <c r="K5" s="30" t="s">
        <v>219</v>
      </c>
      <c r="L5" s="30" t="s">
        <v>220</v>
      </c>
      <c r="M5" s="30" t="s">
        <v>221</v>
      </c>
      <c r="N5" s="298"/>
      <c r="O5" s="30" t="s">
        <v>218</v>
      </c>
      <c r="P5" s="30" t="s">
        <v>219</v>
      </c>
      <c r="Q5" s="30" t="s">
        <v>220</v>
      </c>
      <c r="R5" s="30" t="s">
        <v>221</v>
      </c>
      <c r="S5" s="298"/>
      <c r="T5" s="297" t="s">
        <v>218</v>
      </c>
      <c r="U5" s="30" t="s">
        <v>219</v>
      </c>
      <c r="V5" s="30" t="s">
        <v>220</v>
      </c>
      <c r="W5" s="30" t="s">
        <v>221</v>
      </c>
      <c r="X5" s="298"/>
      <c r="Y5" s="297" t="s">
        <v>218</v>
      </c>
      <c r="Z5" s="30" t="s">
        <v>219</v>
      </c>
      <c r="AA5" s="30" t="s">
        <v>220</v>
      </c>
      <c r="AB5" s="30" t="s">
        <v>221</v>
      </c>
      <c r="AC5" s="298"/>
      <c r="AD5" s="297" t="s">
        <v>218</v>
      </c>
      <c r="AE5" s="30" t="s">
        <v>219</v>
      </c>
      <c r="AF5" s="30" t="s">
        <v>220</v>
      </c>
      <c r="AG5" s="30" t="s">
        <v>221</v>
      </c>
      <c r="AH5" s="298"/>
      <c r="AI5" s="297" t="s">
        <v>218</v>
      </c>
      <c r="AJ5" s="30" t="s">
        <v>219</v>
      </c>
      <c r="AK5" s="30" t="s">
        <v>220</v>
      </c>
      <c r="AL5" s="30" t="s">
        <v>221</v>
      </c>
      <c r="AM5" s="298"/>
      <c r="AN5" s="297" t="s">
        <v>218</v>
      </c>
      <c r="AO5" s="30" t="s">
        <v>219</v>
      </c>
      <c r="AP5" s="30" t="s">
        <v>220</v>
      </c>
      <c r="AQ5" s="30" t="s">
        <v>221</v>
      </c>
      <c r="AR5" s="298"/>
      <c r="AS5" s="297" t="s">
        <v>218</v>
      </c>
      <c r="AT5" s="30" t="s">
        <v>219</v>
      </c>
      <c r="AU5" s="30" t="s">
        <v>220</v>
      </c>
      <c r="AV5" s="30" t="s">
        <v>221</v>
      </c>
      <c r="AW5" s="298"/>
      <c r="AX5" s="297" t="s">
        <v>218</v>
      </c>
      <c r="AY5" s="30" t="s">
        <v>219</v>
      </c>
      <c r="AZ5" s="30" t="s">
        <v>220</v>
      </c>
      <c r="BA5" s="30" t="s">
        <v>221</v>
      </c>
      <c r="BB5" s="298"/>
      <c r="BC5" s="297" t="s">
        <v>218</v>
      </c>
      <c r="BD5" s="30" t="s">
        <v>219</v>
      </c>
      <c r="BE5" s="30" t="s">
        <v>220</v>
      </c>
      <c r="BF5" s="30" t="s">
        <v>221</v>
      </c>
      <c r="BG5" s="298"/>
      <c r="BH5" s="297" t="s">
        <v>218</v>
      </c>
      <c r="BI5" s="30" t="s">
        <v>219</v>
      </c>
      <c r="BJ5" s="30" t="s">
        <v>220</v>
      </c>
      <c r="BK5" s="30" t="s">
        <v>221</v>
      </c>
      <c r="BL5" s="298"/>
      <c r="BM5" s="297" t="s">
        <v>218</v>
      </c>
      <c r="BN5" s="30" t="s">
        <v>219</v>
      </c>
      <c r="BO5" s="30" t="s">
        <v>220</v>
      </c>
      <c r="BP5" s="30" t="s">
        <v>221</v>
      </c>
      <c r="BQ5" s="298"/>
      <c r="BR5" s="297" t="s">
        <v>218</v>
      </c>
      <c r="BS5" s="30" t="s">
        <v>219</v>
      </c>
      <c r="BT5" s="30" t="s">
        <v>220</v>
      </c>
      <c r="BU5" s="30" t="s">
        <v>221</v>
      </c>
      <c r="BV5" s="678"/>
      <c r="BW5" s="284"/>
      <c r="BX5" s="680"/>
      <c r="BY5" s="285"/>
      <c r="BZ5" s="285"/>
    </row>
    <row r="6" spans="1:80" x14ac:dyDescent="0.2">
      <c r="A6" s="300"/>
      <c r="B6" s="278"/>
      <c r="D6" s="290"/>
      <c r="E6" s="301"/>
      <c r="F6" s="290"/>
      <c r="G6" s="290"/>
      <c r="H6" s="290"/>
      <c r="I6" s="302"/>
      <c r="J6" s="289"/>
      <c r="K6" s="290"/>
      <c r="L6" s="290"/>
      <c r="M6" s="290"/>
      <c r="N6" s="302"/>
      <c r="O6" s="290"/>
      <c r="P6" s="290"/>
      <c r="Q6" s="290"/>
      <c r="R6" s="290"/>
      <c r="S6" s="302"/>
      <c r="T6" s="289"/>
      <c r="U6" s="290"/>
      <c r="V6" s="290"/>
      <c r="W6" s="290"/>
      <c r="X6" s="302"/>
      <c r="Y6" s="289"/>
      <c r="Z6" s="290"/>
      <c r="AA6" s="290"/>
      <c r="AB6" s="290"/>
      <c r="AC6" s="302"/>
      <c r="AD6" s="289"/>
      <c r="AE6" s="290"/>
      <c r="AF6" s="290"/>
      <c r="AG6" s="290"/>
      <c r="AH6" s="302"/>
      <c r="AI6" s="289"/>
      <c r="AJ6" s="290"/>
      <c r="AK6" s="290"/>
      <c r="AL6" s="290"/>
      <c r="AM6" s="302"/>
      <c r="AN6" s="289"/>
      <c r="AO6" s="290"/>
      <c r="AP6" s="290"/>
      <c r="AQ6" s="290"/>
      <c r="AR6" s="302"/>
      <c r="AS6" s="289"/>
      <c r="AT6" s="290"/>
      <c r="AU6" s="290"/>
      <c r="AV6" s="290"/>
      <c r="AW6" s="302"/>
      <c r="AX6" s="289"/>
      <c r="AY6" s="290"/>
      <c r="AZ6" s="290"/>
      <c r="BA6" s="290"/>
      <c r="BB6" s="302"/>
      <c r="BC6" s="289"/>
      <c r="BD6" s="290"/>
      <c r="BE6" s="290"/>
      <c r="BF6" s="290"/>
      <c r="BG6" s="302"/>
      <c r="BH6" s="289"/>
      <c r="BI6" s="290"/>
      <c r="BJ6" s="290"/>
      <c r="BK6" s="290"/>
      <c r="BL6" s="302"/>
      <c r="BM6" s="289"/>
      <c r="BN6" s="290"/>
      <c r="BO6" s="290"/>
      <c r="BP6" s="290"/>
      <c r="BQ6" s="302"/>
      <c r="BR6" s="289"/>
      <c r="BS6" s="290"/>
      <c r="BT6" s="290"/>
      <c r="BU6" s="290"/>
      <c r="BV6" s="679"/>
      <c r="BW6" s="284"/>
      <c r="BY6" s="285"/>
      <c r="BZ6" s="285"/>
    </row>
    <row r="7" spans="1:80" ht="13.5" customHeight="1" x14ac:dyDescent="0.25">
      <c r="A7" s="303">
        <v>1</v>
      </c>
      <c r="B7" s="304" t="s">
        <v>222</v>
      </c>
      <c r="D7" s="305"/>
      <c r="E7" s="184">
        <f>598293-19623-31677</f>
        <v>546993</v>
      </c>
      <c r="F7" s="183">
        <v>42</v>
      </c>
      <c r="G7" s="183">
        <f>13277+300</f>
        <v>13577</v>
      </c>
      <c r="H7" s="183">
        <v>0</v>
      </c>
      <c r="I7" s="157">
        <f t="shared" ref="I7:I47" si="0">SUM(E7:H7)</f>
        <v>560612</v>
      </c>
      <c r="J7" s="159">
        <v>28919</v>
      </c>
      <c r="K7" s="161">
        <v>0</v>
      </c>
      <c r="L7" s="161">
        <v>956</v>
      </c>
      <c r="M7" s="161">
        <v>0</v>
      </c>
      <c r="N7" s="157">
        <f>SUM(J7:M7)</f>
        <v>29875</v>
      </c>
      <c r="O7" s="161">
        <v>29267</v>
      </c>
      <c r="P7" s="161">
        <v>0</v>
      </c>
      <c r="Q7" s="161">
        <v>1524</v>
      </c>
      <c r="R7" s="161">
        <v>0</v>
      </c>
      <c r="S7" s="157">
        <f>SUM(O7:R7)</f>
        <v>30791</v>
      </c>
      <c r="T7" s="159">
        <v>31665</v>
      </c>
      <c r="U7" s="161">
        <v>22</v>
      </c>
      <c r="V7" s="161">
        <v>1020</v>
      </c>
      <c r="W7" s="161">
        <v>0</v>
      </c>
      <c r="X7" s="157">
        <f>SUM(T7:W7)</f>
        <v>32707</v>
      </c>
      <c r="Y7" s="159">
        <v>41265</v>
      </c>
      <c r="Z7" s="161">
        <v>10</v>
      </c>
      <c r="AA7" s="161">
        <v>1229</v>
      </c>
      <c r="AB7" s="161">
        <v>0</v>
      </c>
      <c r="AC7" s="157">
        <f>SUM(Y7:AB7)</f>
        <v>42504</v>
      </c>
      <c r="AD7" s="159">
        <v>58277</v>
      </c>
      <c r="AE7" s="161">
        <v>320</v>
      </c>
      <c r="AF7" s="161">
        <v>1572</v>
      </c>
      <c r="AG7" s="161">
        <v>0</v>
      </c>
      <c r="AH7" s="157">
        <f>SUM(AD7:AG7)</f>
        <v>60169</v>
      </c>
      <c r="AI7" s="159">
        <v>33417</v>
      </c>
      <c r="AJ7" s="161">
        <v>137</v>
      </c>
      <c r="AK7" s="161">
        <v>1192</v>
      </c>
      <c r="AL7" s="161">
        <v>0</v>
      </c>
      <c r="AM7" s="157">
        <f>SUM(AI7:AL7)</f>
        <v>34746</v>
      </c>
      <c r="AN7" s="159">
        <v>0</v>
      </c>
      <c r="AO7" s="161">
        <v>0</v>
      </c>
      <c r="AP7" s="161">
        <v>0</v>
      </c>
      <c r="AQ7" s="161">
        <v>0</v>
      </c>
      <c r="AR7" s="157">
        <f t="shared" ref="AR7:AR47" si="1">SUM(AN7:AQ7)</f>
        <v>0</v>
      </c>
      <c r="AS7" s="159">
        <v>0</v>
      </c>
      <c r="AT7" s="161">
        <v>0</v>
      </c>
      <c r="AU7" s="161">
        <v>0</v>
      </c>
      <c r="AV7" s="161">
        <v>0</v>
      </c>
      <c r="AW7" s="157">
        <f>SUM(AS7:AV7)</f>
        <v>0</v>
      </c>
      <c r="AX7" s="159">
        <v>0</v>
      </c>
      <c r="AY7" s="161">
        <v>0</v>
      </c>
      <c r="AZ7" s="161">
        <v>0</v>
      </c>
      <c r="BA7" s="161">
        <v>0</v>
      </c>
      <c r="BB7" s="157">
        <f>SUM(AX7:BA7)</f>
        <v>0</v>
      </c>
      <c r="BC7" s="159">
        <v>0</v>
      </c>
      <c r="BD7" s="161">
        <v>0</v>
      </c>
      <c r="BE7" s="161">
        <v>0</v>
      </c>
      <c r="BF7" s="161">
        <v>0</v>
      </c>
      <c r="BG7" s="157">
        <f>SUM(BC7:BF7)</f>
        <v>0</v>
      </c>
      <c r="BH7" s="159">
        <v>0</v>
      </c>
      <c r="BI7" s="161">
        <v>0</v>
      </c>
      <c r="BJ7" s="161">
        <v>0</v>
      </c>
      <c r="BK7" s="161">
        <v>0</v>
      </c>
      <c r="BL7" s="157">
        <f>SUM(BH7:BK7)</f>
        <v>0</v>
      </c>
      <c r="BM7" s="159">
        <v>0</v>
      </c>
      <c r="BN7" s="161">
        <v>0</v>
      </c>
      <c r="BO7" s="161">
        <v>0</v>
      </c>
      <c r="BP7" s="161">
        <v>0</v>
      </c>
      <c r="BQ7" s="157">
        <f>SUM(BM7:BP7)</f>
        <v>0</v>
      </c>
      <c r="BR7" s="159">
        <f>+J7+O7+T7+Y7+AD7+AI7+AN7+AS7+AX7+BC7+BH7+BM7</f>
        <v>222810</v>
      </c>
      <c r="BS7" s="183">
        <f>+K7+P7+U7+Z7+AE7+AJ7+AO7+AT7+AY7+BD7+BI7+BN7</f>
        <v>489</v>
      </c>
      <c r="BT7" s="161">
        <f>+L7+Q7+V7+AA7+AF7+AK7+AP7+AU7+AZ7+BE7+BJ7+BO7</f>
        <v>7493</v>
      </c>
      <c r="BU7" s="161">
        <f>+M7+R7+W7+AB7+AG7+AL7+AQ7+AV7+BA7+BF7+BK7+BP7</f>
        <v>0</v>
      </c>
      <c r="BV7" s="158">
        <f>SUM(BR7:BU7)</f>
        <v>230792</v>
      </c>
      <c r="BW7" s="306"/>
      <c r="BX7" s="681"/>
      <c r="BY7" s="328"/>
      <c r="BZ7" s="285"/>
      <c r="CA7" s="683"/>
      <c r="CB7" s="120"/>
    </row>
    <row r="8" spans="1:80" ht="13.5" x14ac:dyDescent="0.25">
      <c r="A8" s="303">
        <v>2</v>
      </c>
      <c r="B8" s="304" t="s">
        <v>223</v>
      </c>
      <c r="D8" s="307" t="s">
        <v>86</v>
      </c>
      <c r="E8" s="184">
        <f>1685348-52898</f>
        <v>1632450</v>
      </c>
      <c r="F8" s="183">
        <f>481289-27103</f>
        <v>454186</v>
      </c>
      <c r="G8" s="183">
        <v>13816</v>
      </c>
      <c r="H8" s="183">
        <v>0</v>
      </c>
      <c r="I8" s="157">
        <f t="shared" si="0"/>
        <v>2100452</v>
      </c>
      <c r="J8" s="159">
        <v>140445</v>
      </c>
      <c r="K8" s="161">
        <v>120322</v>
      </c>
      <c r="L8" s="161">
        <v>1150</v>
      </c>
      <c r="M8" s="161">
        <v>0</v>
      </c>
      <c r="N8" s="157">
        <f>SUM(J8:M8)</f>
        <v>261917</v>
      </c>
      <c r="O8" s="161">
        <v>140443</v>
      </c>
      <c r="P8" s="161">
        <v>0</v>
      </c>
      <c r="Q8" s="161">
        <v>1152</v>
      </c>
      <c r="R8" s="161">
        <v>0</v>
      </c>
      <c r="S8" s="157">
        <f t="shared" ref="S8:S22" si="2">SUM(O8:R8)</f>
        <v>141595</v>
      </c>
      <c r="T8" s="159">
        <v>140444</v>
      </c>
      <c r="U8" s="161">
        <v>0</v>
      </c>
      <c r="V8" s="161">
        <v>1151</v>
      </c>
      <c r="W8" s="161">
        <v>0</v>
      </c>
      <c r="X8" s="157">
        <f t="shared" ref="X8:X47" si="3">SUM(T8:W8)</f>
        <v>141595</v>
      </c>
      <c r="Y8" s="159">
        <v>140444</v>
      </c>
      <c r="Z8" s="161">
        <v>120322</v>
      </c>
      <c r="AA8" s="161">
        <v>1151</v>
      </c>
      <c r="AB8" s="161">
        <v>0</v>
      </c>
      <c r="AC8" s="157">
        <f t="shared" ref="AC8:AC47" si="4">SUM(Y8:AB8)</f>
        <v>261917</v>
      </c>
      <c r="AD8" s="159">
        <v>140444</v>
      </c>
      <c r="AE8" s="161">
        <v>0</v>
      </c>
      <c r="AF8" s="161">
        <v>1151</v>
      </c>
      <c r="AG8" s="161">
        <v>0</v>
      </c>
      <c r="AH8" s="157">
        <f t="shared" ref="AH8:AH46" si="5">SUM(AD8:AG8)</f>
        <v>141595</v>
      </c>
      <c r="AI8" s="159">
        <v>140444</v>
      </c>
      <c r="AJ8" s="161">
        <v>0</v>
      </c>
      <c r="AK8" s="161">
        <v>1151</v>
      </c>
      <c r="AL8" s="161">
        <v>0</v>
      </c>
      <c r="AM8" s="157">
        <f>SUM(AI8:AL8)</f>
        <v>141595</v>
      </c>
      <c r="AN8" s="159">
        <v>0</v>
      </c>
      <c r="AO8" s="161">
        <v>0</v>
      </c>
      <c r="AP8" s="161">
        <v>0</v>
      </c>
      <c r="AQ8" s="161">
        <v>0</v>
      </c>
      <c r="AR8" s="157">
        <f t="shared" si="1"/>
        <v>0</v>
      </c>
      <c r="AS8" s="159">
        <v>0</v>
      </c>
      <c r="AT8" s="161">
        <v>0</v>
      </c>
      <c r="AU8" s="161">
        <v>0</v>
      </c>
      <c r="AV8" s="161">
        <v>0</v>
      </c>
      <c r="AW8" s="157">
        <f t="shared" ref="AW8:AW47" si="6">SUM(AS8:AV8)</f>
        <v>0</v>
      </c>
      <c r="AX8" s="159">
        <v>0</v>
      </c>
      <c r="AY8" s="161">
        <v>0</v>
      </c>
      <c r="AZ8" s="161">
        <v>0</v>
      </c>
      <c r="BA8" s="161">
        <v>0</v>
      </c>
      <c r="BB8" s="157">
        <f t="shared" ref="BB8:BB47" si="7">SUM(AX8:BA8)</f>
        <v>0</v>
      </c>
      <c r="BC8" s="159">
        <v>0</v>
      </c>
      <c r="BD8" s="161">
        <v>0</v>
      </c>
      <c r="BE8" s="161">
        <v>0</v>
      </c>
      <c r="BF8" s="161">
        <v>0</v>
      </c>
      <c r="BG8" s="157">
        <f t="shared" ref="BG8:BG47" si="8">SUM(BC8:BF8)</f>
        <v>0</v>
      </c>
      <c r="BH8" s="159">
        <v>0</v>
      </c>
      <c r="BI8" s="161">
        <v>0</v>
      </c>
      <c r="BJ8" s="161">
        <v>0</v>
      </c>
      <c r="BK8" s="161">
        <v>0</v>
      </c>
      <c r="BL8" s="157">
        <f t="shared" ref="BL8:BL47" si="9">SUM(BH8:BK8)</f>
        <v>0</v>
      </c>
      <c r="BM8" s="159">
        <v>0</v>
      </c>
      <c r="BN8" s="161">
        <v>0</v>
      </c>
      <c r="BO8" s="161">
        <v>0</v>
      </c>
      <c r="BP8" s="161">
        <v>0</v>
      </c>
      <c r="BQ8" s="157">
        <f t="shared" ref="BQ8:BQ47" si="10">SUM(BM8:BP8)</f>
        <v>0</v>
      </c>
      <c r="BR8" s="159">
        <f t="shared" ref="BR8:BU47" si="11">+J8+O8+T8+Y8+AD8+AI8+AN8+AS8+AX8+BC8+BH8+BM8</f>
        <v>842664</v>
      </c>
      <c r="BS8" s="183">
        <f t="shared" si="11"/>
        <v>240644</v>
      </c>
      <c r="BT8" s="161">
        <f t="shared" si="11"/>
        <v>6906</v>
      </c>
      <c r="BU8" s="161">
        <f t="shared" si="11"/>
        <v>0</v>
      </c>
      <c r="BV8" s="158">
        <f t="shared" ref="BV8:BV47" si="12">SUM(BR8:BU8)</f>
        <v>1090214</v>
      </c>
      <c r="BW8" s="129"/>
      <c r="BX8" s="681"/>
      <c r="BY8" s="328"/>
      <c r="BZ8" s="285"/>
      <c r="CA8" s="683"/>
      <c r="CB8" s="120"/>
    </row>
    <row r="9" spans="1:80" ht="13.5" x14ac:dyDescent="0.25">
      <c r="A9" s="303">
        <v>3</v>
      </c>
      <c r="B9" s="304" t="s">
        <v>224</v>
      </c>
      <c r="D9" s="307"/>
      <c r="E9" s="184">
        <f>4955897-28474</f>
        <v>4927423</v>
      </c>
      <c r="F9" s="183">
        <f>91272773+10982981</f>
        <v>102255754</v>
      </c>
      <c r="G9" s="183">
        <v>5318</v>
      </c>
      <c r="H9" s="183">
        <v>0</v>
      </c>
      <c r="I9" s="157">
        <f t="shared" si="0"/>
        <v>107188495</v>
      </c>
      <c r="J9" s="159">
        <v>267863</v>
      </c>
      <c r="K9" s="161">
        <v>73</v>
      </c>
      <c r="L9" s="161">
        <v>13</v>
      </c>
      <c r="M9" s="161">
        <v>5</v>
      </c>
      <c r="N9" s="157">
        <f t="shared" ref="N9:N47" si="13">SUM(J9:M9)</f>
        <v>267954</v>
      </c>
      <c r="O9" s="161">
        <v>58517</v>
      </c>
      <c r="P9" s="161">
        <v>260946</v>
      </c>
      <c r="Q9" s="161">
        <v>14</v>
      </c>
      <c r="R9" s="161">
        <v>0</v>
      </c>
      <c r="S9" s="157">
        <f t="shared" si="2"/>
        <v>319477</v>
      </c>
      <c r="T9" s="159">
        <v>267666</v>
      </c>
      <c r="U9" s="161">
        <v>8799</v>
      </c>
      <c r="V9" s="161">
        <v>0</v>
      </c>
      <c r="W9" s="161">
        <v>0</v>
      </c>
      <c r="X9" s="157">
        <f t="shared" si="3"/>
        <v>276465</v>
      </c>
      <c r="Y9" s="159">
        <v>268985</v>
      </c>
      <c r="Z9" s="161">
        <v>33569045</v>
      </c>
      <c r="AA9" s="161">
        <v>55</v>
      </c>
      <c r="AB9" s="161">
        <v>1</v>
      </c>
      <c r="AC9" s="157">
        <f t="shared" si="4"/>
        <v>33838086</v>
      </c>
      <c r="AD9" s="159">
        <v>501753</v>
      </c>
      <c r="AE9" s="161">
        <v>3324135</v>
      </c>
      <c r="AF9" s="161">
        <v>1062</v>
      </c>
      <c r="AG9" s="161">
        <v>0</v>
      </c>
      <c r="AH9" s="157">
        <f t="shared" si="5"/>
        <v>3826950</v>
      </c>
      <c r="AI9" s="159">
        <v>287532</v>
      </c>
      <c r="AJ9" s="161">
        <v>2393724</v>
      </c>
      <c r="AK9" s="161">
        <v>561</v>
      </c>
      <c r="AL9" s="161">
        <v>0</v>
      </c>
      <c r="AM9" s="157">
        <f>SUM(AI9:AL9)</f>
        <v>2681817</v>
      </c>
      <c r="AN9" s="159">
        <v>0</v>
      </c>
      <c r="AO9" s="161">
        <v>0</v>
      </c>
      <c r="AP9" s="161">
        <v>0</v>
      </c>
      <c r="AQ9" s="161">
        <v>0</v>
      </c>
      <c r="AR9" s="157">
        <f t="shared" si="1"/>
        <v>0</v>
      </c>
      <c r="AS9" s="159">
        <v>0</v>
      </c>
      <c r="AT9" s="161">
        <v>0</v>
      </c>
      <c r="AU9" s="161">
        <v>0</v>
      </c>
      <c r="AV9" s="161">
        <v>0</v>
      </c>
      <c r="AW9" s="157">
        <f t="shared" si="6"/>
        <v>0</v>
      </c>
      <c r="AX9" s="159">
        <v>0</v>
      </c>
      <c r="AY9" s="161">
        <v>0</v>
      </c>
      <c r="AZ9" s="161">
        <v>0</v>
      </c>
      <c r="BA9" s="161">
        <v>0</v>
      </c>
      <c r="BB9" s="157">
        <f t="shared" si="7"/>
        <v>0</v>
      </c>
      <c r="BC9" s="159">
        <v>0</v>
      </c>
      <c r="BD9" s="161">
        <v>0</v>
      </c>
      <c r="BE9" s="161">
        <v>0</v>
      </c>
      <c r="BF9" s="161">
        <v>0</v>
      </c>
      <c r="BG9" s="157">
        <f t="shared" si="8"/>
        <v>0</v>
      </c>
      <c r="BH9" s="159">
        <v>0</v>
      </c>
      <c r="BI9" s="161">
        <v>0</v>
      </c>
      <c r="BJ9" s="161">
        <v>0</v>
      </c>
      <c r="BK9" s="161">
        <v>0</v>
      </c>
      <c r="BL9" s="157">
        <f t="shared" si="9"/>
        <v>0</v>
      </c>
      <c r="BM9" s="159">
        <v>0</v>
      </c>
      <c r="BN9" s="161">
        <v>0</v>
      </c>
      <c r="BO9" s="161">
        <v>0</v>
      </c>
      <c r="BP9" s="161">
        <v>0</v>
      </c>
      <c r="BQ9" s="157">
        <f t="shared" si="10"/>
        <v>0</v>
      </c>
      <c r="BR9" s="159">
        <f t="shared" si="11"/>
        <v>1652316</v>
      </c>
      <c r="BS9" s="183">
        <f t="shared" si="11"/>
        <v>39556722</v>
      </c>
      <c r="BT9" s="161">
        <f t="shared" si="11"/>
        <v>1705</v>
      </c>
      <c r="BU9" s="161">
        <f t="shared" si="11"/>
        <v>6</v>
      </c>
      <c r="BV9" s="158">
        <f t="shared" si="12"/>
        <v>41210749</v>
      </c>
      <c r="BW9" s="129"/>
      <c r="BX9" s="681"/>
      <c r="BY9" s="328"/>
      <c r="BZ9" s="285"/>
      <c r="CA9" s="683"/>
      <c r="CB9" s="120"/>
    </row>
    <row r="10" spans="1:80" ht="13.5" x14ac:dyDescent="0.25">
      <c r="A10" s="303">
        <v>4</v>
      </c>
      <c r="B10" s="304" t="s">
        <v>225</v>
      </c>
      <c r="D10" s="307"/>
      <c r="E10" s="184">
        <f>467366+60000</f>
        <v>527366</v>
      </c>
      <c r="F10" s="183">
        <f>249179-30000</f>
        <v>219179</v>
      </c>
      <c r="G10" s="183">
        <v>4003</v>
      </c>
      <c r="H10" s="183">
        <v>0</v>
      </c>
      <c r="I10" s="157">
        <f>SUM(E10:H10)</f>
        <v>750548</v>
      </c>
      <c r="J10" s="159">
        <v>42202</v>
      </c>
      <c r="K10" s="161">
        <v>8262</v>
      </c>
      <c r="L10" s="161">
        <v>13</v>
      </c>
      <c r="M10" s="161">
        <v>0</v>
      </c>
      <c r="N10" s="157">
        <f>SUM(J10:M10)</f>
        <v>50477</v>
      </c>
      <c r="O10" s="161">
        <v>37029</v>
      </c>
      <c r="P10" s="161">
        <v>64819</v>
      </c>
      <c r="Q10" s="161">
        <v>130</v>
      </c>
      <c r="R10" s="161"/>
      <c r="S10" s="157">
        <f t="shared" si="2"/>
        <v>101978</v>
      </c>
      <c r="T10" s="159">
        <v>52054</v>
      </c>
      <c r="U10" s="161">
        <v>0</v>
      </c>
      <c r="V10" s="161">
        <v>525</v>
      </c>
      <c r="W10" s="161">
        <v>0</v>
      </c>
      <c r="X10" s="157">
        <f t="shared" si="3"/>
        <v>52579</v>
      </c>
      <c r="Y10" s="159">
        <v>36717</v>
      </c>
      <c r="Z10" s="161"/>
      <c r="AA10" s="161">
        <f>898-188</f>
        <v>710</v>
      </c>
      <c r="AB10" s="161"/>
      <c r="AC10" s="157">
        <f t="shared" si="4"/>
        <v>37427</v>
      </c>
      <c r="AD10" s="159">
        <v>43730</v>
      </c>
      <c r="AE10" s="161">
        <v>62278</v>
      </c>
      <c r="AF10" s="161">
        <v>1250</v>
      </c>
      <c r="AG10" s="161">
        <v>0</v>
      </c>
      <c r="AH10" s="157">
        <f t="shared" si="5"/>
        <v>107258</v>
      </c>
      <c r="AI10" s="159">
        <v>37902</v>
      </c>
      <c r="AJ10" s="161">
        <v>675</v>
      </c>
      <c r="AK10" s="161">
        <v>366</v>
      </c>
      <c r="AL10" s="161">
        <v>0</v>
      </c>
      <c r="AM10" s="157">
        <f t="shared" ref="AM10:AM47" si="14">SUM(AI10:AL10)</f>
        <v>38943</v>
      </c>
      <c r="AN10" s="159"/>
      <c r="AO10" s="161"/>
      <c r="AP10" s="161"/>
      <c r="AQ10" s="161"/>
      <c r="AR10" s="157"/>
      <c r="AS10" s="159"/>
      <c r="AT10" s="161"/>
      <c r="AU10" s="161"/>
      <c r="AV10" s="161"/>
      <c r="AW10" s="157"/>
      <c r="AX10" s="159"/>
      <c r="AY10" s="161"/>
      <c r="AZ10" s="161"/>
      <c r="BA10" s="161"/>
      <c r="BB10" s="157"/>
      <c r="BC10" s="159"/>
      <c r="BD10" s="161"/>
      <c r="BE10" s="161"/>
      <c r="BF10" s="161"/>
      <c r="BG10" s="157"/>
      <c r="BH10" s="159"/>
      <c r="BI10" s="161"/>
      <c r="BJ10" s="161"/>
      <c r="BK10" s="161"/>
      <c r="BL10" s="157"/>
      <c r="BM10" s="159"/>
      <c r="BN10" s="161"/>
      <c r="BO10" s="161"/>
      <c r="BP10" s="161"/>
      <c r="BQ10" s="157"/>
      <c r="BR10" s="159">
        <f t="shared" si="11"/>
        <v>249634</v>
      </c>
      <c r="BS10" s="183">
        <f t="shared" si="11"/>
        <v>136034</v>
      </c>
      <c r="BT10" s="161">
        <f t="shared" si="11"/>
        <v>2994</v>
      </c>
      <c r="BU10" s="161">
        <f t="shared" si="11"/>
        <v>0</v>
      </c>
      <c r="BV10" s="158">
        <f t="shared" si="12"/>
        <v>388662</v>
      </c>
      <c r="BW10" s="129"/>
      <c r="BX10" s="681"/>
      <c r="BY10" s="328"/>
      <c r="BZ10" s="285"/>
      <c r="CA10" s="683"/>
      <c r="CB10" s="120"/>
    </row>
    <row r="11" spans="1:80" ht="13.5" x14ac:dyDescent="0.25">
      <c r="A11" s="303">
        <v>5</v>
      </c>
      <c r="B11" s="304" t="s">
        <v>226</v>
      </c>
      <c r="D11" s="307"/>
      <c r="E11" s="184">
        <f>6627028-527000</f>
        <v>6100028</v>
      </c>
      <c r="F11" s="183">
        <f>2389590-35000</f>
        <v>2354590</v>
      </c>
      <c r="G11" s="183">
        <v>13011</v>
      </c>
      <c r="H11" s="183">
        <v>0</v>
      </c>
      <c r="I11" s="157">
        <f t="shared" si="0"/>
        <v>8467629</v>
      </c>
      <c r="J11" s="159">
        <v>394381</v>
      </c>
      <c r="K11" s="161">
        <v>459844</v>
      </c>
      <c r="L11" s="161">
        <v>75903</v>
      </c>
      <c r="M11" s="161">
        <v>0</v>
      </c>
      <c r="N11" s="157">
        <f t="shared" si="13"/>
        <v>930128</v>
      </c>
      <c r="O11" s="161">
        <v>538070</v>
      </c>
      <c r="P11" s="161">
        <v>166364</v>
      </c>
      <c r="Q11" s="161">
        <v>14930</v>
      </c>
      <c r="R11" s="161">
        <v>0</v>
      </c>
      <c r="S11" s="157">
        <f t="shared" si="2"/>
        <v>719364</v>
      </c>
      <c r="T11" s="159">
        <v>422472</v>
      </c>
      <c r="U11" s="161">
        <v>164893</v>
      </c>
      <c r="V11" s="161">
        <v>5038</v>
      </c>
      <c r="W11" s="161">
        <v>0</v>
      </c>
      <c r="X11" s="157">
        <f t="shared" si="3"/>
        <v>592403</v>
      </c>
      <c r="Y11" s="159">
        <v>433396</v>
      </c>
      <c r="Z11" s="161">
        <v>207919</v>
      </c>
      <c r="AA11" s="161">
        <v>10620</v>
      </c>
      <c r="AB11" s="161">
        <v>0</v>
      </c>
      <c r="AC11" s="157">
        <f t="shared" si="4"/>
        <v>651935</v>
      </c>
      <c r="AD11" s="159">
        <v>434166</v>
      </c>
      <c r="AE11" s="161">
        <v>100853</v>
      </c>
      <c r="AF11" s="161">
        <v>3675</v>
      </c>
      <c r="AG11" s="161">
        <v>0</v>
      </c>
      <c r="AH11" s="157">
        <f t="shared" si="5"/>
        <v>538694</v>
      </c>
      <c r="AI11" s="159">
        <v>474137</v>
      </c>
      <c r="AJ11" s="161">
        <v>102820</v>
      </c>
      <c r="AK11" s="161">
        <v>64166</v>
      </c>
      <c r="AL11" s="161">
        <v>0</v>
      </c>
      <c r="AM11" s="157">
        <f t="shared" si="14"/>
        <v>641123</v>
      </c>
      <c r="AN11" s="159">
        <v>0</v>
      </c>
      <c r="AO11" s="161">
        <v>0</v>
      </c>
      <c r="AP11" s="161">
        <v>0</v>
      </c>
      <c r="AQ11" s="161">
        <v>0</v>
      </c>
      <c r="AR11" s="157">
        <f t="shared" si="1"/>
        <v>0</v>
      </c>
      <c r="AS11" s="159">
        <v>0</v>
      </c>
      <c r="AT11" s="161">
        <v>0</v>
      </c>
      <c r="AU11" s="161">
        <v>0</v>
      </c>
      <c r="AV11" s="161">
        <v>0</v>
      </c>
      <c r="AW11" s="157">
        <f t="shared" si="6"/>
        <v>0</v>
      </c>
      <c r="AX11" s="159">
        <v>0</v>
      </c>
      <c r="AY11" s="161">
        <v>0</v>
      </c>
      <c r="AZ11" s="161">
        <v>0</v>
      </c>
      <c r="BA11" s="161">
        <v>0</v>
      </c>
      <c r="BB11" s="157">
        <f t="shared" si="7"/>
        <v>0</v>
      </c>
      <c r="BC11" s="159">
        <v>0</v>
      </c>
      <c r="BD11" s="161">
        <v>0</v>
      </c>
      <c r="BE11" s="161">
        <v>0</v>
      </c>
      <c r="BF11" s="161">
        <v>0</v>
      </c>
      <c r="BG11" s="157">
        <f t="shared" si="8"/>
        <v>0</v>
      </c>
      <c r="BH11" s="159">
        <v>0</v>
      </c>
      <c r="BI11" s="161">
        <v>0</v>
      </c>
      <c r="BJ11" s="161">
        <v>0</v>
      </c>
      <c r="BK11" s="161">
        <v>0</v>
      </c>
      <c r="BL11" s="157">
        <f t="shared" si="9"/>
        <v>0</v>
      </c>
      <c r="BM11" s="159">
        <v>0</v>
      </c>
      <c r="BN11" s="161">
        <v>0</v>
      </c>
      <c r="BO11" s="161">
        <v>0</v>
      </c>
      <c r="BP11" s="161">
        <v>0</v>
      </c>
      <c r="BQ11" s="157">
        <f t="shared" si="10"/>
        <v>0</v>
      </c>
      <c r="BR11" s="159">
        <f t="shared" si="11"/>
        <v>2696622</v>
      </c>
      <c r="BS11" s="183">
        <f t="shared" si="11"/>
        <v>1202693</v>
      </c>
      <c r="BT11" s="161">
        <f t="shared" si="11"/>
        <v>174332</v>
      </c>
      <c r="BU11" s="161">
        <f t="shared" si="11"/>
        <v>0</v>
      </c>
      <c r="BV11" s="158">
        <f t="shared" si="12"/>
        <v>4073647</v>
      </c>
      <c r="BW11" s="129"/>
      <c r="BX11" s="681"/>
      <c r="BY11" s="328"/>
      <c r="BZ11" s="285"/>
      <c r="CA11" s="683"/>
      <c r="CB11" s="120"/>
    </row>
    <row r="12" spans="1:80" ht="13.5" x14ac:dyDescent="0.25">
      <c r="A12" s="303">
        <v>6</v>
      </c>
      <c r="B12" s="304" t="s">
        <v>227</v>
      </c>
      <c r="D12" s="305"/>
      <c r="E12" s="184">
        <f>5559186-109939</f>
        <v>5449247</v>
      </c>
      <c r="F12" s="183">
        <v>914879</v>
      </c>
      <c r="G12" s="183">
        <f>376114-206636</f>
        <v>169478</v>
      </c>
      <c r="H12" s="183">
        <v>0</v>
      </c>
      <c r="I12" s="157">
        <f t="shared" si="0"/>
        <v>6533604</v>
      </c>
      <c r="J12" s="159">
        <v>507360</v>
      </c>
      <c r="K12" s="161">
        <v>1819</v>
      </c>
      <c r="L12" s="161">
        <v>2339</v>
      </c>
      <c r="M12" s="161">
        <v>0</v>
      </c>
      <c r="N12" s="157">
        <f t="shared" si="13"/>
        <v>511518</v>
      </c>
      <c r="O12" s="161">
        <v>410400</v>
      </c>
      <c r="P12" s="161">
        <v>531</v>
      </c>
      <c r="Q12" s="161">
        <v>9289</v>
      </c>
      <c r="R12" s="161">
        <v>0</v>
      </c>
      <c r="S12" s="157">
        <f t="shared" si="2"/>
        <v>420220</v>
      </c>
      <c r="T12" s="159">
        <v>460311</v>
      </c>
      <c r="U12" s="161">
        <v>484367</v>
      </c>
      <c r="V12" s="161">
        <v>3611</v>
      </c>
      <c r="W12" s="161">
        <v>0</v>
      </c>
      <c r="X12" s="157">
        <f t="shared" si="3"/>
        <v>948289</v>
      </c>
      <c r="Y12" s="159">
        <v>414377</v>
      </c>
      <c r="Z12" s="161">
        <v>1142</v>
      </c>
      <c r="AA12" s="161">
        <v>48378</v>
      </c>
      <c r="AB12" s="161">
        <v>0</v>
      </c>
      <c r="AC12" s="157">
        <f t="shared" si="4"/>
        <v>463897</v>
      </c>
      <c r="AD12" s="159">
        <v>425690</v>
      </c>
      <c r="AE12" s="161">
        <v>4643</v>
      </c>
      <c r="AF12" s="161">
        <v>2918</v>
      </c>
      <c r="AG12" s="161">
        <v>0</v>
      </c>
      <c r="AH12" s="157">
        <f t="shared" si="5"/>
        <v>433251</v>
      </c>
      <c r="AI12" s="159">
        <v>459991</v>
      </c>
      <c r="AJ12" s="161">
        <v>35246</v>
      </c>
      <c r="AK12" s="161">
        <v>2952</v>
      </c>
      <c r="AL12" s="161">
        <v>0</v>
      </c>
      <c r="AM12" s="157">
        <f t="shared" si="14"/>
        <v>498189</v>
      </c>
      <c r="AN12" s="159">
        <v>0</v>
      </c>
      <c r="AO12" s="161">
        <v>0</v>
      </c>
      <c r="AP12" s="161">
        <v>0</v>
      </c>
      <c r="AQ12" s="161">
        <v>0</v>
      </c>
      <c r="AR12" s="157">
        <f t="shared" si="1"/>
        <v>0</v>
      </c>
      <c r="AS12" s="159">
        <v>0</v>
      </c>
      <c r="AT12" s="161">
        <v>0</v>
      </c>
      <c r="AU12" s="161">
        <v>0</v>
      </c>
      <c r="AV12" s="161">
        <v>0</v>
      </c>
      <c r="AW12" s="157">
        <f t="shared" si="6"/>
        <v>0</v>
      </c>
      <c r="AX12" s="159">
        <v>0</v>
      </c>
      <c r="AY12" s="161">
        <v>0</v>
      </c>
      <c r="AZ12" s="161">
        <v>0</v>
      </c>
      <c r="BA12" s="161">
        <v>0</v>
      </c>
      <c r="BB12" s="157">
        <f t="shared" si="7"/>
        <v>0</v>
      </c>
      <c r="BC12" s="159">
        <v>0</v>
      </c>
      <c r="BD12" s="161">
        <v>0</v>
      </c>
      <c r="BE12" s="161">
        <v>0</v>
      </c>
      <c r="BF12" s="161">
        <v>0</v>
      </c>
      <c r="BG12" s="157">
        <f t="shared" si="8"/>
        <v>0</v>
      </c>
      <c r="BH12" s="159">
        <v>0</v>
      </c>
      <c r="BI12" s="161">
        <v>0</v>
      </c>
      <c r="BJ12" s="161">
        <v>0</v>
      </c>
      <c r="BK12" s="161">
        <v>0</v>
      </c>
      <c r="BL12" s="157">
        <f t="shared" si="9"/>
        <v>0</v>
      </c>
      <c r="BM12" s="159">
        <v>0</v>
      </c>
      <c r="BN12" s="161">
        <v>0</v>
      </c>
      <c r="BO12" s="161">
        <v>0</v>
      </c>
      <c r="BP12" s="161">
        <v>0</v>
      </c>
      <c r="BQ12" s="157">
        <f t="shared" si="10"/>
        <v>0</v>
      </c>
      <c r="BR12" s="159">
        <f t="shared" si="11"/>
        <v>2678129</v>
      </c>
      <c r="BS12" s="183">
        <f t="shared" si="11"/>
        <v>527748</v>
      </c>
      <c r="BT12" s="161">
        <f t="shared" si="11"/>
        <v>69487</v>
      </c>
      <c r="BU12" s="161">
        <f t="shared" si="11"/>
        <v>0</v>
      </c>
      <c r="BV12" s="158">
        <f t="shared" si="12"/>
        <v>3275364</v>
      </c>
      <c r="BW12" s="129"/>
      <c r="BX12" s="681"/>
      <c r="BY12" s="328"/>
      <c r="BZ12" s="285"/>
      <c r="CA12" s="683"/>
      <c r="CB12" s="120"/>
    </row>
    <row r="13" spans="1:80" ht="13.5" x14ac:dyDescent="0.25">
      <c r="A13" s="303">
        <v>7</v>
      </c>
      <c r="B13" s="304" t="s">
        <v>228</v>
      </c>
      <c r="D13" s="305"/>
      <c r="E13" s="184">
        <f>109458-16000</f>
        <v>93458</v>
      </c>
      <c r="F13" s="183">
        <v>93703</v>
      </c>
      <c r="G13" s="183">
        <v>3432</v>
      </c>
      <c r="H13" s="183">
        <v>0</v>
      </c>
      <c r="I13" s="157">
        <f t="shared" si="0"/>
        <v>190593</v>
      </c>
      <c r="J13" s="159">
        <v>6216</v>
      </c>
      <c r="K13" s="161">
        <v>6559</v>
      </c>
      <c r="L13" s="161">
        <v>0</v>
      </c>
      <c r="M13" s="161">
        <v>0</v>
      </c>
      <c r="N13" s="157">
        <f>SUM(J13:M13)</f>
        <v>12775</v>
      </c>
      <c r="O13" s="161">
        <v>6631</v>
      </c>
      <c r="P13" s="161">
        <v>7496</v>
      </c>
      <c r="Q13" s="161">
        <v>25</v>
      </c>
      <c r="R13" s="161"/>
      <c r="S13" s="157">
        <f t="shared" si="2"/>
        <v>14152</v>
      </c>
      <c r="T13" s="159">
        <v>7658</v>
      </c>
      <c r="U13" s="161">
        <v>8478</v>
      </c>
      <c r="V13" s="161">
        <v>0</v>
      </c>
      <c r="W13" s="161">
        <v>0</v>
      </c>
      <c r="X13" s="157">
        <f t="shared" si="3"/>
        <v>16136</v>
      </c>
      <c r="Y13" s="159">
        <v>7883</v>
      </c>
      <c r="Z13" s="161">
        <v>7515</v>
      </c>
      <c r="AA13" s="161">
        <v>1322</v>
      </c>
      <c r="AB13" s="161"/>
      <c r="AC13" s="157">
        <f t="shared" si="4"/>
        <v>16720</v>
      </c>
      <c r="AD13" s="159">
        <v>6502</v>
      </c>
      <c r="AE13" s="161">
        <v>56</v>
      </c>
      <c r="AF13" s="161">
        <v>-335</v>
      </c>
      <c r="AG13" s="161">
        <v>0</v>
      </c>
      <c r="AH13" s="157">
        <f t="shared" si="5"/>
        <v>6223</v>
      </c>
      <c r="AI13" s="159">
        <v>8895</v>
      </c>
      <c r="AJ13" s="161">
        <v>25026</v>
      </c>
      <c r="AK13" s="161">
        <v>47</v>
      </c>
      <c r="AL13" s="161">
        <v>0</v>
      </c>
      <c r="AM13" s="157">
        <f t="shared" si="14"/>
        <v>33968</v>
      </c>
      <c r="AN13" s="159"/>
      <c r="AO13" s="161"/>
      <c r="AP13" s="161"/>
      <c r="AQ13" s="161"/>
      <c r="AR13" s="157"/>
      <c r="AS13" s="159"/>
      <c r="AT13" s="161"/>
      <c r="AU13" s="161"/>
      <c r="AV13" s="161"/>
      <c r="AW13" s="157"/>
      <c r="AX13" s="159"/>
      <c r="AY13" s="161"/>
      <c r="AZ13" s="161"/>
      <c r="BA13" s="161"/>
      <c r="BB13" s="157"/>
      <c r="BC13" s="159"/>
      <c r="BD13" s="161"/>
      <c r="BE13" s="161"/>
      <c r="BF13" s="161"/>
      <c r="BG13" s="157"/>
      <c r="BH13" s="159"/>
      <c r="BI13" s="161"/>
      <c r="BJ13" s="161"/>
      <c r="BK13" s="161"/>
      <c r="BL13" s="157"/>
      <c r="BM13" s="159"/>
      <c r="BN13" s="161"/>
      <c r="BO13" s="161"/>
      <c r="BP13" s="161"/>
      <c r="BQ13" s="157"/>
      <c r="BR13" s="159">
        <f t="shared" si="11"/>
        <v>43785</v>
      </c>
      <c r="BS13" s="183">
        <f t="shared" si="11"/>
        <v>55130</v>
      </c>
      <c r="BT13" s="161">
        <f t="shared" si="11"/>
        <v>1059</v>
      </c>
      <c r="BU13" s="161">
        <f t="shared" si="11"/>
        <v>0</v>
      </c>
      <c r="BV13" s="158">
        <f t="shared" si="12"/>
        <v>99974</v>
      </c>
      <c r="BW13" s="129"/>
      <c r="BX13" s="681"/>
      <c r="BY13" s="328"/>
      <c r="BZ13" s="285"/>
      <c r="CA13" s="683"/>
      <c r="CB13" s="120"/>
    </row>
    <row r="14" spans="1:80" ht="13.5" x14ac:dyDescent="0.25">
      <c r="A14" s="303">
        <v>8</v>
      </c>
      <c r="B14" s="304" t="s">
        <v>229</v>
      </c>
      <c r="D14" s="305"/>
      <c r="E14" s="184">
        <f>2914169-318398</f>
        <v>2595771</v>
      </c>
      <c r="F14" s="183">
        <f>25260881-543102</f>
        <v>24717779</v>
      </c>
      <c r="G14" s="183">
        <f>34419-1500</f>
        <v>32919</v>
      </c>
      <c r="H14" s="183">
        <f>4913694+3000000</f>
        <v>7913694</v>
      </c>
      <c r="I14" s="157">
        <f t="shared" si="0"/>
        <v>35260163</v>
      </c>
      <c r="J14" s="159">
        <v>97620</v>
      </c>
      <c r="K14" s="161">
        <v>1328011</v>
      </c>
      <c r="L14" s="161">
        <v>0</v>
      </c>
      <c r="M14" s="161">
        <v>0</v>
      </c>
      <c r="N14" s="157">
        <f t="shared" si="13"/>
        <v>1425631</v>
      </c>
      <c r="O14" s="161">
        <v>142170</v>
      </c>
      <c r="P14" s="161">
        <v>2198989</v>
      </c>
      <c r="Q14" s="161">
        <v>0</v>
      </c>
      <c r="R14" s="161">
        <v>0</v>
      </c>
      <c r="S14" s="157">
        <f t="shared" si="2"/>
        <v>2341159</v>
      </c>
      <c r="T14" s="159">
        <v>187894</v>
      </c>
      <c r="U14" s="161">
        <f>1714217</f>
        <v>1714217</v>
      </c>
      <c r="V14" s="161">
        <v>20517</v>
      </c>
      <c r="W14" s="161">
        <f>291973+111334</f>
        <v>403307</v>
      </c>
      <c r="X14" s="157">
        <f t="shared" si="3"/>
        <v>2325935</v>
      </c>
      <c r="Y14" s="159">
        <v>198302</v>
      </c>
      <c r="Z14" s="161">
        <v>2076439</v>
      </c>
      <c r="AA14" s="161">
        <v>627</v>
      </c>
      <c r="AB14" s="161">
        <v>27028</v>
      </c>
      <c r="AC14" s="157">
        <f t="shared" si="4"/>
        <v>2302396</v>
      </c>
      <c r="AD14" s="159">
        <v>160989</v>
      </c>
      <c r="AE14" s="161">
        <v>2216846</v>
      </c>
      <c r="AF14" s="161">
        <v>2786</v>
      </c>
      <c r="AG14" s="161">
        <v>0</v>
      </c>
      <c r="AH14" s="157">
        <f t="shared" si="5"/>
        <v>2380621</v>
      </c>
      <c r="AI14" s="159">
        <v>90905</v>
      </c>
      <c r="AJ14" s="161">
        <f>2124557-30000</f>
        <v>2094557</v>
      </c>
      <c r="AK14" s="161">
        <v>3662</v>
      </c>
      <c r="AL14" s="161">
        <f>3000000-74366</f>
        <v>2925634</v>
      </c>
      <c r="AM14" s="157">
        <f t="shared" si="14"/>
        <v>5114758</v>
      </c>
      <c r="AN14" s="159">
        <v>0</v>
      </c>
      <c r="AO14" s="161">
        <v>0</v>
      </c>
      <c r="AP14" s="161">
        <v>0</v>
      </c>
      <c r="AQ14" s="161">
        <v>0</v>
      </c>
      <c r="AR14" s="157">
        <f t="shared" si="1"/>
        <v>0</v>
      </c>
      <c r="AS14" s="159">
        <v>0</v>
      </c>
      <c r="AT14" s="161">
        <v>0</v>
      </c>
      <c r="AU14" s="161">
        <v>0</v>
      </c>
      <c r="AV14" s="161">
        <v>0</v>
      </c>
      <c r="AW14" s="157">
        <f t="shared" si="6"/>
        <v>0</v>
      </c>
      <c r="AX14" s="159">
        <v>0</v>
      </c>
      <c r="AY14" s="161">
        <v>0</v>
      </c>
      <c r="AZ14" s="161">
        <v>0</v>
      </c>
      <c r="BA14" s="161">
        <v>0</v>
      </c>
      <c r="BB14" s="157">
        <f t="shared" si="7"/>
        <v>0</v>
      </c>
      <c r="BC14" s="159">
        <v>0</v>
      </c>
      <c r="BD14" s="161">
        <v>0</v>
      </c>
      <c r="BE14" s="161">
        <v>0</v>
      </c>
      <c r="BF14" s="161">
        <v>0</v>
      </c>
      <c r="BG14" s="157">
        <f t="shared" si="8"/>
        <v>0</v>
      </c>
      <c r="BH14" s="159">
        <v>0</v>
      </c>
      <c r="BI14" s="161">
        <v>0</v>
      </c>
      <c r="BJ14" s="161">
        <v>0</v>
      </c>
      <c r="BK14" s="161">
        <v>0</v>
      </c>
      <c r="BL14" s="157">
        <f>SUM(BH14:BK14)</f>
        <v>0</v>
      </c>
      <c r="BM14" s="159">
        <v>0</v>
      </c>
      <c r="BN14" s="161">
        <v>0</v>
      </c>
      <c r="BO14" s="161">
        <v>0</v>
      </c>
      <c r="BP14" s="161">
        <v>0</v>
      </c>
      <c r="BQ14" s="157">
        <f t="shared" si="10"/>
        <v>0</v>
      </c>
      <c r="BR14" s="159">
        <f t="shared" si="11"/>
        <v>877880</v>
      </c>
      <c r="BS14" s="183">
        <f t="shared" si="11"/>
        <v>11629059</v>
      </c>
      <c r="BT14" s="161">
        <f t="shared" si="11"/>
        <v>27592</v>
      </c>
      <c r="BU14" s="161">
        <f t="shared" si="11"/>
        <v>3355969</v>
      </c>
      <c r="BV14" s="158">
        <f t="shared" si="12"/>
        <v>15890500</v>
      </c>
      <c r="BW14" s="129"/>
      <c r="BX14" s="681"/>
      <c r="BY14" s="328"/>
      <c r="BZ14" s="285"/>
      <c r="CA14" s="683"/>
      <c r="CB14" s="120"/>
    </row>
    <row r="15" spans="1:80" ht="13.5" x14ac:dyDescent="0.25">
      <c r="A15" s="303">
        <v>9</v>
      </c>
      <c r="B15" s="304" t="s">
        <v>230</v>
      </c>
      <c r="D15" s="308"/>
      <c r="E15" s="184">
        <f>491778-42504-51969</f>
        <v>397305</v>
      </c>
      <c r="F15" s="183">
        <v>0</v>
      </c>
      <c r="G15" s="183">
        <f>8196-5527</f>
        <v>2669</v>
      </c>
      <c r="H15" s="183">
        <v>0</v>
      </c>
      <c r="I15" s="157">
        <f t="shared" si="0"/>
        <v>399974</v>
      </c>
      <c r="J15" s="159">
        <v>25273</v>
      </c>
      <c r="K15" s="161">
        <v>0</v>
      </c>
      <c r="L15" s="161">
        <v>0</v>
      </c>
      <c r="M15" s="161">
        <v>0</v>
      </c>
      <c r="N15" s="157">
        <f t="shared" si="13"/>
        <v>25273</v>
      </c>
      <c r="O15" s="161">
        <v>26963</v>
      </c>
      <c r="P15" s="161">
        <v>65</v>
      </c>
      <c r="Q15" s="161">
        <v>145</v>
      </c>
      <c r="R15" s="161">
        <v>0</v>
      </c>
      <c r="S15" s="157">
        <f t="shared" si="2"/>
        <v>27173</v>
      </c>
      <c r="T15" s="159">
        <v>27187</v>
      </c>
      <c r="U15" s="161">
        <v>74</v>
      </c>
      <c r="V15" s="161">
        <v>1852</v>
      </c>
      <c r="W15" s="161">
        <v>4</v>
      </c>
      <c r="X15" s="157">
        <f t="shared" si="3"/>
        <v>29117</v>
      </c>
      <c r="Y15" s="159">
        <f>29248+1</f>
        <v>29249</v>
      </c>
      <c r="Z15" s="161">
        <v>29</v>
      </c>
      <c r="AA15" s="161">
        <v>287</v>
      </c>
      <c r="AB15" s="161">
        <v>0</v>
      </c>
      <c r="AC15" s="157">
        <f t="shared" si="4"/>
        <v>29565</v>
      </c>
      <c r="AD15" s="159">
        <v>27878</v>
      </c>
      <c r="AE15" s="161">
        <v>66</v>
      </c>
      <c r="AF15" s="161">
        <v>172</v>
      </c>
      <c r="AG15" s="161">
        <v>0</v>
      </c>
      <c r="AH15" s="157">
        <f t="shared" si="5"/>
        <v>28116</v>
      </c>
      <c r="AI15" s="159">
        <v>30272</v>
      </c>
      <c r="AJ15" s="161">
        <v>78</v>
      </c>
      <c r="AK15" s="161">
        <v>371</v>
      </c>
      <c r="AL15" s="161">
        <v>0</v>
      </c>
      <c r="AM15" s="157">
        <f t="shared" si="14"/>
        <v>30721</v>
      </c>
      <c r="AN15" s="159">
        <v>0</v>
      </c>
      <c r="AO15" s="161">
        <v>0</v>
      </c>
      <c r="AP15" s="161">
        <v>0</v>
      </c>
      <c r="AQ15" s="161">
        <v>0</v>
      </c>
      <c r="AR15" s="157">
        <f t="shared" si="1"/>
        <v>0</v>
      </c>
      <c r="AS15" s="159">
        <v>0</v>
      </c>
      <c r="AT15" s="161">
        <v>0</v>
      </c>
      <c r="AU15" s="161">
        <v>0</v>
      </c>
      <c r="AV15" s="161">
        <v>0</v>
      </c>
      <c r="AW15" s="157">
        <f t="shared" si="6"/>
        <v>0</v>
      </c>
      <c r="AX15" s="159">
        <v>0</v>
      </c>
      <c r="AY15" s="161">
        <v>0</v>
      </c>
      <c r="AZ15" s="161">
        <v>0</v>
      </c>
      <c r="BA15" s="161">
        <v>0</v>
      </c>
      <c r="BB15" s="157">
        <f t="shared" si="7"/>
        <v>0</v>
      </c>
      <c r="BC15" s="159">
        <v>0</v>
      </c>
      <c r="BD15" s="161">
        <v>0</v>
      </c>
      <c r="BE15" s="161">
        <v>0</v>
      </c>
      <c r="BF15" s="161">
        <v>0</v>
      </c>
      <c r="BG15" s="157">
        <f t="shared" si="8"/>
        <v>0</v>
      </c>
      <c r="BH15" s="159">
        <v>0</v>
      </c>
      <c r="BI15" s="161">
        <v>0</v>
      </c>
      <c r="BJ15" s="161">
        <v>0</v>
      </c>
      <c r="BK15" s="161">
        <v>0</v>
      </c>
      <c r="BL15" s="157">
        <f t="shared" si="9"/>
        <v>0</v>
      </c>
      <c r="BM15" s="159">
        <v>0</v>
      </c>
      <c r="BN15" s="161">
        <v>0</v>
      </c>
      <c r="BO15" s="161">
        <v>0</v>
      </c>
      <c r="BP15" s="161">
        <v>0</v>
      </c>
      <c r="BQ15" s="157">
        <f t="shared" si="10"/>
        <v>0</v>
      </c>
      <c r="BR15" s="159">
        <f t="shared" si="11"/>
        <v>166822</v>
      </c>
      <c r="BS15" s="183">
        <f t="shared" si="11"/>
        <v>312</v>
      </c>
      <c r="BT15" s="161">
        <f t="shared" si="11"/>
        <v>2827</v>
      </c>
      <c r="BU15" s="161">
        <f t="shared" si="11"/>
        <v>4</v>
      </c>
      <c r="BV15" s="158">
        <f t="shared" si="12"/>
        <v>169965</v>
      </c>
      <c r="BW15" s="129"/>
      <c r="BX15" s="681"/>
      <c r="BY15" s="328"/>
      <c r="BZ15" s="285"/>
      <c r="CA15" s="683"/>
      <c r="CB15" s="120"/>
    </row>
    <row r="16" spans="1:80" ht="13.5" x14ac:dyDescent="0.25">
      <c r="A16" s="303">
        <v>10</v>
      </c>
      <c r="B16" s="86" t="s">
        <v>231</v>
      </c>
      <c r="D16" s="308"/>
      <c r="E16" s="184">
        <f>305858-30000-31871</f>
        <v>243987</v>
      </c>
      <c r="F16" s="183">
        <v>17</v>
      </c>
      <c r="G16" s="183">
        <v>3480</v>
      </c>
      <c r="H16" s="183">
        <v>37540000</v>
      </c>
      <c r="I16" s="157">
        <f t="shared" si="0"/>
        <v>37787484</v>
      </c>
      <c r="J16" s="159">
        <v>13997</v>
      </c>
      <c r="K16" s="161">
        <v>2</v>
      </c>
      <c r="L16" s="161">
        <v>14</v>
      </c>
      <c r="M16" s="161">
        <v>0</v>
      </c>
      <c r="N16" s="157">
        <f t="shared" si="13"/>
        <v>14013</v>
      </c>
      <c r="O16" s="161">
        <v>15331</v>
      </c>
      <c r="P16" s="161">
        <v>149</v>
      </c>
      <c r="Q16" s="161">
        <v>308</v>
      </c>
      <c r="R16" s="161">
        <v>1000000</v>
      </c>
      <c r="S16" s="157">
        <f t="shared" si="2"/>
        <v>1015788</v>
      </c>
      <c r="T16" s="159">
        <v>24169</v>
      </c>
      <c r="U16" s="161">
        <v>0</v>
      </c>
      <c r="V16" s="161">
        <v>339</v>
      </c>
      <c r="W16" s="161">
        <v>72000</v>
      </c>
      <c r="X16" s="157">
        <f t="shared" si="3"/>
        <v>96508</v>
      </c>
      <c r="Y16" s="159">
        <v>36884</v>
      </c>
      <c r="Z16" s="161">
        <v>0</v>
      </c>
      <c r="AA16" s="161">
        <v>1260</v>
      </c>
      <c r="AB16" s="161">
        <v>3779311</v>
      </c>
      <c r="AC16" s="157">
        <f t="shared" si="4"/>
        <v>3817455</v>
      </c>
      <c r="AD16" s="159">
        <v>6775</v>
      </c>
      <c r="AE16" s="161">
        <v>0</v>
      </c>
      <c r="AF16" s="161">
        <v>23</v>
      </c>
      <c r="AG16" s="161">
        <v>5000000</v>
      </c>
      <c r="AH16" s="157">
        <f t="shared" si="5"/>
        <v>5006798</v>
      </c>
      <c r="AI16" s="159">
        <v>15744</v>
      </c>
      <c r="AJ16" s="161">
        <v>0</v>
      </c>
      <c r="AK16" s="161">
        <v>834</v>
      </c>
      <c r="AL16" s="161">
        <f>6661273-6571667</f>
        <v>89606</v>
      </c>
      <c r="AM16" s="157">
        <f t="shared" si="14"/>
        <v>106184</v>
      </c>
      <c r="AN16" s="159">
        <v>0</v>
      </c>
      <c r="AO16" s="161">
        <v>0</v>
      </c>
      <c r="AP16" s="161">
        <v>0</v>
      </c>
      <c r="AQ16" s="161">
        <v>0</v>
      </c>
      <c r="AR16" s="157">
        <f t="shared" si="1"/>
        <v>0</v>
      </c>
      <c r="AS16" s="159">
        <v>0</v>
      </c>
      <c r="AT16" s="161">
        <v>0</v>
      </c>
      <c r="AU16" s="161">
        <v>0</v>
      </c>
      <c r="AV16" s="161">
        <v>0</v>
      </c>
      <c r="AW16" s="157">
        <f t="shared" si="6"/>
        <v>0</v>
      </c>
      <c r="AX16" s="159">
        <v>0</v>
      </c>
      <c r="AY16" s="161">
        <v>0</v>
      </c>
      <c r="AZ16" s="161">
        <v>0</v>
      </c>
      <c r="BA16" s="161">
        <v>0</v>
      </c>
      <c r="BB16" s="157">
        <f t="shared" si="7"/>
        <v>0</v>
      </c>
      <c r="BC16" s="159">
        <v>0</v>
      </c>
      <c r="BD16" s="161">
        <v>0</v>
      </c>
      <c r="BE16" s="161">
        <v>0</v>
      </c>
      <c r="BF16" s="161">
        <v>0</v>
      </c>
      <c r="BG16" s="157">
        <f t="shared" si="8"/>
        <v>0</v>
      </c>
      <c r="BH16" s="159">
        <v>0</v>
      </c>
      <c r="BI16" s="161">
        <v>0</v>
      </c>
      <c r="BJ16" s="161">
        <v>0</v>
      </c>
      <c r="BK16" s="161">
        <v>0</v>
      </c>
      <c r="BL16" s="157">
        <f t="shared" si="9"/>
        <v>0</v>
      </c>
      <c r="BM16" s="159">
        <v>0</v>
      </c>
      <c r="BN16" s="161">
        <v>0</v>
      </c>
      <c r="BO16" s="161">
        <v>0</v>
      </c>
      <c r="BP16" s="161">
        <v>0</v>
      </c>
      <c r="BQ16" s="157">
        <f t="shared" si="10"/>
        <v>0</v>
      </c>
      <c r="BR16" s="159">
        <f t="shared" si="11"/>
        <v>112900</v>
      </c>
      <c r="BS16" s="183">
        <f t="shared" si="11"/>
        <v>151</v>
      </c>
      <c r="BT16" s="161">
        <f t="shared" si="11"/>
        <v>2778</v>
      </c>
      <c r="BU16" s="161">
        <f t="shared" si="11"/>
        <v>9940917</v>
      </c>
      <c r="BV16" s="158">
        <f t="shared" si="12"/>
        <v>10056746</v>
      </c>
      <c r="BW16" s="129"/>
      <c r="BX16" s="681"/>
      <c r="BY16" s="328"/>
      <c r="BZ16" s="285"/>
      <c r="CA16" s="683"/>
      <c r="CB16" s="120"/>
    </row>
    <row r="17" spans="1:80" ht="13.5" x14ac:dyDescent="0.25">
      <c r="A17" s="303">
        <v>11</v>
      </c>
      <c r="B17" s="304" t="s">
        <v>232</v>
      </c>
      <c r="D17" s="307"/>
      <c r="E17" s="184">
        <f>519590-31000-49000</f>
        <v>439590</v>
      </c>
      <c r="F17" s="183">
        <f>43195-6000</f>
        <v>37195</v>
      </c>
      <c r="G17" s="183">
        <v>2921</v>
      </c>
      <c r="H17" s="183">
        <v>0</v>
      </c>
      <c r="I17" s="157">
        <f t="shared" si="0"/>
        <v>479706</v>
      </c>
      <c r="J17" s="159">
        <v>23789</v>
      </c>
      <c r="K17" s="161">
        <v>2431</v>
      </c>
      <c r="L17" s="161">
        <v>0</v>
      </c>
      <c r="M17" s="161">
        <v>0</v>
      </c>
      <c r="N17" s="157">
        <f t="shared" si="13"/>
        <v>26220</v>
      </c>
      <c r="O17" s="161">
        <v>37006</v>
      </c>
      <c r="P17" s="161">
        <v>2880</v>
      </c>
      <c r="Q17" s="161">
        <v>79</v>
      </c>
      <c r="R17" s="161">
        <v>0</v>
      </c>
      <c r="S17" s="157">
        <f t="shared" si="2"/>
        <v>39965</v>
      </c>
      <c r="T17" s="159">
        <v>27759</v>
      </c>
      <c r="U17" s="161">
        <v>2885</v>
      </c>
      <c r="V17" s="161">
        <v>29</v>
      </c>
      <c r="W17" s="161">
        <v>0</v>
      </c>
      <c r="X17" s="157">
        <f t="shared" si="3"/>
        <v>30673</v>
      </c>
      <c r="Y17" s="159">
        <v>30348</v>
      </c>
      <c r="Z17" s="161">
        <v>5627</v>
      </c>
      <c r="AA17" s="161">
        <v>0</v>
      </c>
      <c r="AB17" s="161">
        <v>0</v>
      </c>
      <c r="AC17" s="157">
        <f t="shared" si="4"/>
        <v>35975</v>
      </c>
      <c r="AD17" s="159">
        <v>40785</v>
      </c>
      <c r="AE17" s="161">
        <v>2560</v>
      </c>
      <c r="AF17" s="161">
        <v>310</v>
      </c>
      <c r="AG17" s="161">
        <v>0</v>
      </c>
      <c r="AH17" s="157">
        <f t="shared" si="5"/>
        <v>43655</v>
      </c>
      <c r="AI17" s="159">
        <v>26108</v>
      </c>
      <c r="AJ17" s="161">
        <v>4134</v>
      </c>
      <c r="AK17" s="161">
        <v>201</v>
      </c>
      <c r="AL17" s="161">
        <v>0</v>
      </c>
      <c r="AM17" s="157">
        <f t="shared" si="14"/>
        <v>30443</v>
      </c>
      <c r="AN17" s="159">
        <v>0</v>
      </c>
      <c r="AO17" s="161">
        <v>0</v>
      </c>
      <c r="AP17" s="161">
        <v>0</v>
      </c>
      <c r="AQ17" s="161">
        <v>0</v>
      </c>
      <c r="AR17" s="157">
        <f t="shared" si="1"/>
        <v>0</v>
      </c>
      <c r="AS17" s="159">
        <v>0</v>
      </c>
      <c r="AT17" s="161">
        <v>0</v>
      </c>
      <c r="AU17" s="161">
        <v>0</v>
      </c>
      <c r="AV17" s="161">
        <v>0</v>
      </c>
      <c r="AW17" s="157">
        <f t="shared" si="6"/>
        <v>0</v>
      </c>
      <c r="AX17" s="159">
        <v>0</v>
      </c>
      <c r="AY17" s="161">
        <v>0</v>
      </c>
      <c r="AZ17" s="161">
        <v>0</v>
      </c>
      <c r="BA17" s="161">
        <v>0</v>
      </c>
      <c r="BB17" s="157">
        <f t="shared" si="7"/>
        <v>0</v>
      </c>
      <c r="BC17" s="159">
        <v>0</v>
      </c>
      <c r="BD17" s="161">
        <v>0</v>
      </c>
      <c r="BE17" s="161">
        <v>0</v>
      </c>
      <c r="BF17" s="161">
        <v>0</v>
      </c>
      <c r="BG17" s="157">
        <f t="shared" si="8"/>
        <v>0</v>
      </c>
      <c r="BH17" s="159">
        <v>0</v>
      </c>
      <c r="BI17" s="161">
        <v>0</v>
      </c>
      <c r="BJ17" s="161">
        <v>0</v>
      </c>
      <c r="BK17" s="161">
        <v>0</v>
      </c>
      <c r="BL17" s="157">
        <f t="shared" si="9"/>
        <v>0</v>
      </c>
      <c r="BM17" s="159">
        <v>0</v>
      </c>
      <c r="BN17" s="161">
        <v>0</v>
      </c>
      <c r="BO17" s="161">
        <v>0</v>
      </c>
      <c r="BP17" s="161">
        <v>0</v>
      </c>
      <c r="BQ17" s="157">
        <f t="shared" si="10"/>
        <v>0</v>
      </c>
      <c r="BR17" s="159">
        <f t="shared" si="11"/>
        <v>185795</v>
      </c>
      <c r="BS17" s="183">
        <f t="shared" si="11"/>
        <v>20517</v>
      </c>
      <c r="BT17" s="161">
        <f t="shared" si="11"/>
        <v>619</v>
      </c>
      <c r="BU17" s="161">
        <f t="shared" si="11"/>
        <v>0</v>
      </c>
      <c r="BV17" s="158">
        <f t="shared" si="12"/>
        <v>206931</v>
      </c>
      <c r="BW17" s="129"/>
      <c r="BX17" s="681"/>
      <c r="BY17" s="328"/>
      <c r="BZ17" s="285"/>
      <c r="CA17" s="683"/>
      <c r="CB17" s="120"/>
    </row>
    <row r="18" spans="1:80" ht="13.5" x14ac:dyDescent="0.25">
      <c r="A18" s="303">
        <v>12</v>
      </c>
      <c r="B18" s="281" t="s">
        <v>233</v>
      </c>
      <c r="D18" s="305"/>
      <c r="E18" s="184">
        <f>295723-9500</f>
        <v>286223</v>
      </c>
      <c r="F18" s="183">
        <v>498</v>
      </c>
      <c r="G18" s="183">
        <f>1406-500</f>
        <v>906</v>
      </c>
      <c r="H18" s="183">
        <v>0</v>
      </c>
      <c r="I18" s="157">
        <f t="shared" si="0"/>
        <v>287627</v>
      </c>
      <c r="J18" s="159">
        <v>17330</v>
      </c>
      <c r="K18" s="161">
        <v>0</v>
      </c>
      <c r="L18" s="161">
        <v>8</v>
      </c>
      <c r="M18" s="161">
        <v>0</v>
      </c>
      <c r="N18" s="157">
        <f t="shared" si="13"/>
        <v>17338</v>
      </c>
      <c r="O18" s="161">
        <v>21158</v>
      </c>
      <c r="P18" s="161">
        <v>127</v>
      </c>
      <c r="Q18" s="161">
        <v>22</v>
      </c>
      <c r="R18" s="161">
        <v>0</v>
      </c>
      <c r="S18" s="157">
        <f t="shared" si="2"/>
        <v>21307</v>
      </c>
      <c r="T18" s="159">
        <v>19149</v>
      </c>
      <c r="U18" s="161">
        <v>0</v>
      </c>
      <c r="V18" s="161">
        <v>244</v>
      </c>
      <c r="W18" s="161">
        <v>0</v>
      </c>
      <c r="X18" s="157">
        <f t="shared" si="3"/>
        <v>19393</v>
      </c>
      <c r="Y18" s="159">
        <v>21544</v>
      </c>
      <c r="Z18" s="161">
        <v>13</v>
      </c>
      <c r="AA18" s="161">
        <v>39</v>
      </c>
      <c r="AB18" s="161">
        <v>0</v>
      </c>
      <c r="AC18" s="157">
        <f t="shared" si="4"/>
        <v>21596</v>
      </c>
      <c r="AD18" s="159">
        <v>22178</v>
      </c>
      <c r="AE18" s="161">
        <v>104</v>
      </c>
      <c r="AF18" s="161">
        <v>265</v>
      </c>
      <c r="AG18" s="161">
        <v>0</v>
      </c>
      <c r="AH18" s="157">
        <f t="shared" si="5"/>
        <v>22547</v>
      </c>
      <c r="AI18" s="159">
        <v>20797</v>
      </c>
      <c r="AJ18" s="161">
        <v>95</v>
      </c>
      <c r="AK18" s="161">
        <v>355</v>
      </c>
      <c r="AL18" s="161">
        <v>0</v>
      </c>
      <c r="AM18" s="157">
        <f t="shared" si="14"/>
        <v>21247</v>
      </c>
      <c r="AN18" s="159">
        <v>0</v>
      </c>
      <c r="AO18" s="161">
        <v>0</v>
      </c>
      <c r="AP18" s="161">
        <v>0</v>
      </c>
      <c r="AQ18" s="161">
        <v>0</v>
      </c>
      <c r="AR18" s="157">
        <f t="shared" si="1"/>
        <v>0</v>
      </c>
      <c r="AS18" s="159">
        <v>0</v>
      </c>
      <c r="AT18" s="161">
        <v>0</v>
      </c>
      <c r="AU18" s="161">
        <v>0</v>
      </c>
      <c r="AV18" s="161">
        <v>0</v>
      </c>
      <c r="AW18" s="157">
        <f t="shared" si="6"/>
        <v>0</v>
      </c>
      <c r="AX18" s="159">
        <v>0</v>
      </c>
      <c r="AY18" s="161">
        <v>0</v>
      </c>
      <c r="AZ18" s="161">
        <v>0</v>
      </c>
      <c r="BA18" s="161">
        <v>0</v>
      </c>
      <c r="BB18" s="157">
        <f t="shared" si="7"/>
        <v>0</v>
      </c>
      <c r="BC18" s="159">
        <v>0</v>
      </c>
      <c r="BD18" s="161">
        <v>0</v>
      </c>
      <c r="BE18" s="161">
        <v>0</v>
      </c>
      <c r="BF18" s="161">
        <v>0</v>
      </c>
      <c r="BG18" s="157">
        <f t="shared" si="8"/>
        <v>0</v>
      </c>
      <c r="BH18" s="159">
        <v>0</v>
      </c>
      <c r="BI18" s="161">
        <v>0</v>
      </c>
      <c r="BJ18" s="161">
        <v>0</v>
      </c>
      <c r="BK18" s="161">
        <v>0</v>
      </c>
      <c r="BL18" s="157">
        <f>SUM(BH18:BK18)</f>
        <v>0</v>
      </c>
      <c r="BM18" s="159">
        <v>0</v>
      </c>
      <c r="BN18" s="161">
        <v>0</v>
      </c>
      <c r="BO18" s="161">
        <v>0</v>
      </c>
      <c r="BP18" s="161">
        <v>0</v>
      </c>
      <c r="BQ18" s="157">
        <f t="shared" si="10"/>
        <v>0</v>
      </c>
      <c r="BR18" s="159">
        <f t="shared" si="11"/>
        <v>122156</v>
      </c>
      <c r="BS18" s="183">
        <f t="shared" si="11"/>
        <v>339</v>
      </c>
      <c r="BT18" s="161">
        <f t="shared" si="11"/>
        <v>933</v>
      </c>
      <c r="BU18" s="161">
        <f t="shared" si="11"/>
        <v>0</v>
      </c>
      <c r="BV18" s="158">
        <f t="shared" si="12"/>
        <v>123428</v>
      </c>
      <c r="BW18" s="129"/>
      <c r="BX18" s="681"/>
      <c r="BY18" s="328"/>
      <c r="BZ18" s="285"/>
      <c r="CA18" s="683"/>
      <c r="CB18" s="120"/>
    </row>
    <row r="19" spans="1:80" ht="13.5" x14ac:dyDescent="0.25">
      <c r="A19" s="303">
        <v>13</v>
      </c>
      <c r="B19" s="281" t="s">
        <v>234</v>
      </c>
      <c r="D19" s="305"/>
      <c r="E19" s="184">
        <v>1054524</v>
      </c>
      <c r="F19" s="183">
        <v>6996074</v>
      </c>
      <c r="G19" s="183">
        <v>20198</v>
      </c>
      <c r="H19" s="183">
        <v>0</v>
      </c>
      <c r="I19" s="157">
        <f t="shared" si="0"/>
        <v>8070796</v>
      </c>
      <c r="J19" s="159">
        <v>53437</v>
      </c>
      <c r="K19" s="161">
        <v>1418670</v>
      </c>
      <c r="L19" s="161">
        <v>2</v>
      </c>
      <c r="M19" s="161">
        <v>0</v>
      </c>
      <c r="N19" s="157">
        <f>SUM(J19:M19)</f>
        <v>1472109</v>
      </c>
      <c r="O19" s="161">
        <v>44492</v>
      </c>
      <c r="P19" s="161">
        <v>138060</v>
      </c>
      <c r="Q19" s="161">
        <v>16</v>
      </c>
      <c r="R19" s="161"/>
      <c r="S19" s="157">
        <f t="shared" si="2"/>
        <v>182568</v>
      </c>
      <c r="T19" s="159">
        <v>49357</v>
      </c>
      <c r="U19" s="161">
        <v>143523</v>
      </c>
      <c r="V19" s="161">
        <v>66</v>
      </c>
      <c r="W19" s="161"/>
      <c r="X19" s="157">
        <f t="shared" si="3"/>
        <v>192946</v>
      </c>
      <c r="Y19" s="159">
        <v>52009</v>
      </c>
      <c r="Z19" s="161">
        <v>1101032</v>
      </c>
      <c r="AA19" s="161">
        <v>121</v>
      </c>
      <c r="AB19" s="161"/>
      <c r="AC19" s="157">
        <f t="shared" si="4"/>
        <v>1153162</v>
      </c>
      <c r="AD19" s="159">
        <v>71641</v>
      </c>
      <c r="AE19" s="161">
        <v>304539</v>
      </c>
      <c r="AF19" s="161">
        <v>712</v>
      </c>
      <c r="AG19" s="161">
        <v>0</v>
      </c>
      <c r="AH19" s="157">
        <f t="shared" si="5"/>
        <v>376892</v>
      </c>
      <c r="AI19" s="159">
        <v>60660</v>
      </c>
      <c r="AJ19" s="161">
        <v>203771</v>
      </c>
      <c r="AK19" s="161">
        <v>225</v>
      </c>
      <c r="AL19" s="161">
        <v>0</v>
      </c>
      <c r="AM19" s="157">
        <f t="shared" si="14"/>
        <v>264656</v>
      </c>
      <c r="AN19" s="159"/>
      <c r="AO19" s="161"/>
      <c r="AP19" s="161"/>
      <c r="AQ19" s="161"/>
      <c r="AR19" s="157"/>
      <c r="AS19" s="159"/>
      <c r="AT19" s="161"/>
      <c r="AU19" s="161"/>
      <c r="AV19" s="161"/>
      <c r="AW19" s="157"/>
      <c r="AX19" s="159"/>
      <c r="AY19" s="161"/>
      <c r="AZ19" s="161"/>
      <c r="BA19" s="161"/>
      <c r="BB19" s="157"/>
      <c r="BC19" s="159"/>
      <c r="BD19" s="161"/>
      <c r="BE19" s="161"/>
      <c r="BF19" s="161"/>
      <c r="BG19" s="157"/>
      <c r="BH19" s="159"/>
      <c r="BI19" s="161"/>
      <c r="BJ19" s="161"/>
      <c r="BK19" s="161"/>
      <c r="BL19" s="157"/>
      <c r="BM19" s="159"/>
      <c r="BN19" s="161"/>
      <c r="BO19" s="161"/>
      <c r="BP19" s="161"/>
      <c r="BQ19" s="157"/>
      <c r="BR19" s="159">
        <f t="shared" si="11"/>
        <v>331596</v>
      </c>
      <c r="BS19" s="183">
        <f t="shared" si="11"/>
        <v>3309595</v>
      </c>
      <c r="BT19" s="161">
        <f t="shared" si="11"/>
        <v>1142</v>
      </c>
      <c r="BU19" s="161">
        <f t="shared" si="11"/>
        <v>0</v>
      </c>
      <c r="BV19" s="158">
        <f t="shared" si="12"/>
        <v>3642333</v>
      </c>
      <c r="BW19" s="129"/>
      <c r="BX19" s="681"/>
      <c r="BY19" s="328"/>
      <c r="BZ19" s="285"/>
      <c r="CA19" s="683"/>
      <c r="CB19" s="120"/>
    </row>
    <row r="20" spans="1:80" ht="13.5" x14ac:dyDescent="0.25">
      <c r="A20" s="303">
        <v>14</v>
      </c>
      <c r="B20" s="304" t="s">
        <v>235</v>
      </c>
      <c r="D20" s="307"/>
      <c r="E20" s="184">
        <f>3136923-199514</f>
        <v>2937409</v>
      </c>
      <c r="F20" s="183">
        <v>526</v>
      </c>
      <c r="G20" s="183">
        <f>314724-486</f>
        <v>314238</v>
      </c>
      <c r="H20" s="183">
        <v>0</v>
      </c>
      <c r="I20" s="157">
        <f t="shared" si="0"/>
        <v>3252173</v>
      </c>
      <c r="J20" s="159">
        <v>135367</v>
      </c>
      <c r="K20" s="161">
        <v>0</v>
      </c>
      <c r="L20" s="161">
        <v>21881</v>
      </c>
      <c r="M20" s="161">
        <v>0</v>
      </c>
      <c r="N20" s="157">
        <f t="shared" si="13"/>
        <v>157248</v>
      </c>
      <c r="O20" s="161">
        <v>140643</v>
      </c>
      <c r="P20" s="161">
        <v>5487</v>
      </c>
      <c r="Q20" s="161">
        <v>21894</v>
      </c>
      <c r="R20" s="161">
        <v>0</v>
      </c>
      <c r="S20" s="157">
        <f t="shared" si="2"/>
        <v>168024</v>
      </c>
      <c r="T20" s="159">
        <v>137614</v>
      </c>
      <c r="U20" s="161">
        <v>53</v>
      </c>
      <c r="V20" s="161">
        <v>24192</v>
      </c>
      <c r="W20" s="161">
        <v>0</v>
      </c>
      <c r="X20" s="157">
        <f t="shared" si="3"/>
        <v>161859</v>
      </c>
      <c r="Y20" s="159">
        <v>155245</v>
      </c>
      <c r="Z20" s="161">
        <v>6</v>
      </c>
      <c r="AA20" s="161">
        <v>22088</v>
      </c>
      <c r="AB20" s="161">
        <v>0</v>
      </c>
      <c r="AC20" s="157">
        <f t="shared" si="4"/>
        <v>177339</v>
      </c>
      <c r="AD20" s="159">
        <v>178565</v>
      </c>
      <c r="AE20" s="161">
        <v>752</v>
      </c>
      <c r="AF20" s="161">
        <v>25970</v>
      </c>
      <c r="AG20" s="161">
        <v>0</v>
      </c>
      <c r="AH20" s="157">
        <f t="shared" si="5"/>
        <v>205287</v>
      </c>
      <c r="AI20" s="159">
        <v>208686</v>
      </c>
      <c r="AJ20" s="161">
        <v>111</v>
      </c>
      <c r="AK20" s="161">
        <v>24989</v>
      </c>
      <c r="AL20" s="161">
        <v>0</v>
      </c>
      <c r="AM20" s="157">
        <f t="shared" si="14"/>
        <v>233786</v>
      </c>
      <c r="AN20" s="159">
        <v>0</v>
      </c>
      <c r="AO20" s="161">
        <v>0</v>
      </c>
      <c r="AP20" s="161">
        <v>0</v>
      </c>
      <c r="AQ20" s="161">
        <v>0</v>
      </c>
      <c r="AR20" s="157">
        <f t="shared" si="1"/>
        <v>0</v>
      </c>
      <c r="AS20" s="159">
        <v>0</v>
      </c>
      <c r="AT20" s="161">
        <v>0</v>
      </c>
      <c r="AU20" s="161">
        <v>0</v>
      </c>
      <c r="AV20" s="161">
        <v>0</v>
      </c>
      <c r="AW20" s="157">
        <f t="shared" si="6"/>
        <v>0</v>
      </c>
      <c r="AX20" s="159">
        <v>0</v>
      </c>
      <c r="AY20" s="161">
        <v>0</v>
      </c>
      <c r="AZ20" s="161">
        <v>0</v>
      </c>
      <c r="BA20" s="161">
        <v>0</v>
      </c>
      <c r="BB20" s="157">
        <f>SUM(AX20:BA20)</f>
        <v>0</v>
      </c>
      <c r="BC20" s="159">
        <v>0</v>
      </c>
      <c r="BD20" s="161">
        <v>0</v>
      </c>
      <c r="BE20" s="161">
        <v>0</v>
      </c>
      <c r="BF20" s="161">
        <v>0</v>
      </c>
      <c r="BG20" s="157">
        <f t="shared" si="8"/>
        <v>0</v>
      </c>
      <c r="BH20" s="159">
        <v>0</v>
      </c>
      <c r="BI20" s="161">
        <v>0</v>
      </c>
      <c r="BJ20" s="161">
        <v>0</v>
      </c>
      <c r="BK20" s="161">
        <v>0</v>
      </c>
      <c r="BL20" s="157">
        <f t="shared" si="9"/>
        <v>0</v>
      </c>
      <c r="BM20" s="159">
        <v>0</v>
      </c>
      <c r="BN20" s="161">
        <v>0</v>
      </c>
      <c r="BO20" s="161">
        <v>0</v>
      </c>
      <c r="BP20" s="161">
        <v>0</v>
      </c>
      <c r="BQ20" s="157">
        <f t="shared" si="10"/>
        <v>0</v>
      </c>
      <c r="BR20" s="159">
        <f t="shared" si="11"/>
        <v>956120</v>
      </c>
      <c r="BS20" s="183">
        <f t="shared" si="11"/>
        <v>6409</v>
      </c>
      <c r="BT20" s="161">
        <f t="shared" si="11"/>
        <v>141014</v>
      </c>
      <c r="BU20" s="161">
        <f t="shared" si="11"/>
        <v>0</v>
      </c>
      <c r="BV20" s="158">
        <f t="shared" si="12"/>
        <v>1103543</v>
      </c>
      <c r="BW20" s="129"/>
      <c r="BX20" s="681"/>
      <c r="BY20" s="328"/>
      <c r="BZ20" s="285"/>
      <c r="CA20" s="683"/>
      <c r="CB20" s="120"/>
    </row>
    <row r="21" spans="1:80" ht="13.5" x14ac:dyDescent="0.25">
      <c r="A21" s="303">
        <v>15</v>
      </c>
      <c r="B21" s="304" t="s">
        <v>236</v>
      </c>
      <c r="D21" s="307"/>
      <c r="E21" s="184">
        <f>122856-3000</f>
        <v>119856</v>
      </c>
      <c r="F21" s="183">
        <v>47688</v>
      </c>
      <c r="G21" s="183">
        <v>2855</v>
      </c>
      <c r="H21" s="183">
        <v>0</v>
      </c>
      <c r="I21" s="157">
        <f t="shared" si="0"/>
        <v>170399</v>
      </c>
      <c r="J21" s="159">
        <v>7125</v>
      </c>
      <c r="K21" s="161">
        <v>11929</v>
      </c>
      <c r="L21" s="161">
        <v>63</v>
      </c>
      <c r="M21" s="161">
        <v>0</v>
      </c>
      <c r="N21" s="157">
        <f>SUM(J21:M21)</f>
        <v>19117</v>
      </c>
      <c r="O21" s="161">
        <v>6020</v>
      </c>
      <c r="P21" s="161">
        <v>9</v>
      </c>
      <c r="Q21" s="161">
        <v>51</v>
      </c>
      <c r="R21" s="161"/>
      <c r="S21" s="157">
        <f t="shared" si="2"/>
        <v>6080</v>
      </c>
      <c r="T21" s="159">
        <v>5988</v>
      </c>
      <c r="U21" s="161">
        <v>0</v>
      </c>
      <c r="V21" s="161">
        <v>50</v>
      </c>
      <c r="W21" s="161">
        <v>0</v>
      </c>
      <c r="X21" s="157">
        <f t="shared" si="3"/>
        <v>6038</v>
      </c>
      <c r="Y21" s="159">
        <v>6671</v>
      </c>
      <c r="Z21" s="161">
        <v>11912</v>
      </c>
      <c r="AA21" s="161">
        <v>62</v>
      </c>
      <c r="AB21" s="161"/>
      <c r="AC21" s="157">
        <f t="shared" si="4"/>
        <v>18645</v>
      </c>
      <c r="AD21" s="159">
        <v>6661</v>
      </c>
      <c r="AE21" s="161">
        <v>0</v>
      </c>
      <c r="AF21" s="161">
        <v>49</v>
      </c>
      <c r="AG21" s="161">
        <v>0</v>
      </c>
      <c r="AH21" s="157">
        <f t="shared" si="5"/>
        <v>6710</v>
      </c>
      <c r="AI21" s="159">
        <v>7707</v>
      </c>
      <c r="AJ21" s="161">
        <v>2</v>
      </c>
      <c r="AK21" s="161">
        <v>49</v>
      </c>
      <c r="AL21" s="161">
        <v>0</v>
      </c>
      <c r="AM21" s="157">
        <f t="shared" si="14"/>
        <v>7758</v>
      </c>
      <c r="AN21" s="159"/>
      <c r="AO21" s="161"/>
      <c r="AP21" s="161"/>
      <c r="AQ21" s="161"/>
      <c r="AR21" s="157"/>
      <c r="AS21" s="159"/>
      <c r="AT21" s="161"/>
      <c r="AU21" s="161"/>
      <c r="AV21" s="161"/>
      <c r="AW21" s="157"/>
      <c r="AX21" s="159"/>
      <c r="AY21" s="161"/>
      <c r="AZ21" s="161"/>
      <c r="BA21" s="161"/>
      <c r="BB21" s="157"/>
      <c r="BC21" s="159"/>
      <c r="BD21" s="161"/>
      <c r="BE21" s="161"/>
      <c r="BF21" s="161"/>
      <c r="BG21" s="157"/>
      <c r="BH21" s="159"/>
      <c r="BI21" s="161"/>
      <c r="BJ21" s="161"/>
      <c r="BK21" s="161"/>
      <c r="BL21" s="157"/>
      <c r="BM21" s="159"/>
      <c r="BN21" s="161"/>
      <c r="BO21" s="161"/>
      <c r="BP21" s="161"/>
      <c r="BQ21" s="157"/>
      <c r="BR21" s="159">
        <f t="shared" si="11"/>
        <v>40172</v>
      </c>
      <c r="BS21" s="183">
        <f t="shared" si="11"/>
        <v>23852</v>
      </c>
      <c r="BT21" s="161">
        <f t="shared" si="11"/>
        <v>324</v>
      </c>
      <c r="BU21" s="161">
        <f t="shared" si="11"/>
        <v>0</v>
      </c>
      <c r="BV21" s="158">
        <f t="shared" si="12"/>
        <v>64348</v>
      </c>
      <c r="BW21" s="129"/>
      <c r="BX21" s="681"/>
      <c r="BY21" s="328"/>
      <c r="BZ21" s="285"/>
      <c r="CA21" s="683"/>
      <c r="CB21" s="120"/>
    </row>
    <row r="22" spans="1:80" ht="13.5" x14ac:dyDescent="0.25">
      <c r="A22" s="303">
        <v>16</v>
      </c>
      <c r="B22" s="304" t="s">
        <v>237</v>
      </c>
      <c r="D22" s="305"/>
      <c r="E22" s="184">
        <f>2668812-281856</f>
        <v>2386956</v>
      </c>
      <c r="F22" s="183">
        <f>21150175-2353342</f>
        <v>18796833</v>
      </c>
      <c r="G22" s="183">
        <f>1509245+540000</f>
        <v>2049245</v>
      </c>
      <c r="H22" s="183">
        <v>0</v>
      </c>
      <c r="I22" s="157">
        <f t="shared" si="0"/>
        <v>23233034</v>
      </c>
      <c r="J22" s="159">
        <v>57684</v>
      </c>
      <c r="K22" s="161">
        <v>3109719</v>
      </c>
      <c r="L22" s="161">
        <v>8522</v>
      </c>
      <c r="M22" s="161">
        <v>0</v>
      </c>
      <c r="N22" s="157">
        <f t="shared" si="13"/>
        <v>3175925</v>
      </c>
      <c r="O22" s="161">
        <v>65633</v>
      </c>
      <c r="P22" s="161">
        <v>3568074</v>
      </c>
      <c r="Q22" s="161">
        <v>4480</v>
      </c>
      <c r="R22" s="161">
        <v>0</v>
      </c>
      <c r="S22" s="157">
        <f t="shared" si="2"/>
        <v>3638187</v>
      </c>
      <c r="T22" s="159">
        <v>68020</v>
      </c>
      <c r="U22" s="161">
        <v>722524</v>
      </c>
      <c r="V22" s="161">
        <v>16584</v>
      </c>
      <c r="W22" s="161">
        <v>0</v>
      </c>
      <c r="X22" s="157">
        <f t="shared" si="3"/>
        <v>807128</v>
      </c>
      <c r="Y22" s="159">
        <v>102392</v>
      </c>
      <c r="Z22" s="161">
        <v>1439251</v>
      </c>
      <c r="AA22" s="161">
        <f>2386-38</f>
        <v>2348</v>
      </c>
      <c r="AB22" s="161">
        <v>0</v>
      </c>
      <c r="AC22" s="157">
        <f t="shared" si="4"/>
        <v>1543991</v>
      </c>
      <c r="AD22" s="159">
        <v>104252</v>
      </c>
      <c r="AE22" s="161">
        <v>2486319</v>
      </c>
      <c r="AF22" s="161">
        <v>16033</v>
      </c>
      <c r="AG22" s="161">
        <v>0</v>
      </c>
      <c r="AH22" s="157">
        <f t="shared" si="5"/>
        <v>2606604</v>
      </c>
      <c r="AI22" s="159">
        <v>497990</v>
      </c>
      <c r="AJ22" s="161">
        <v>568575</v>
      </c>
      <c r="AK22" s="161">
        <v>12138</v>
      </c>
      <c r="AL22" s="161">
        <v>181</v>
      </c>
      <c r="AM22" s="157">
        <f t="shared" si="14"/>
        <v>1078884</v>
      </c>
      <c r="AN22" s="159">
        <v>0</v>
      </c>
      <c r="AO22" s="161">
        <v>0</v>
      </c>
      <c r="AP22" s="161">
        <v>0</v>
      </c>
      <c r="AQ22" s="161">
        <v>0</v>
      </c>
      <c r="AR22" s="157">
        <f t="shared" si="1"/>
        <v>0</v>
      </c>
      <c r="AS22" s="159">
        <v>0</v>
      </c>
      <c r="AT22" s="161">
        <v>0</v>
      </c>
      <c r="AU22" s="161">
        <v>0</v>
      </c>
      <c r="AV22" s="161">
        <v>0</v>
      </c>
      <c r="AW22" s="157">
        <f t="shared" si="6"/>
        <v>0</v>
      </c>
      <c r="AX22" s="159">
        <v>0</v>
      </c>
      <c r="AY22" s="161">
        <v>0</v>
      </c>
      <c r="AZ22" s="161">
        <v>0</v>
      </c>
      <c r="BA22" s="161">
        <v>0</v>
      </c>
      <c r="BB22" s="157">
        <f t="shared" si="7"/>
        <v>0</v>
      </c>
      <c r="BC22" s="159">
        <v>0</v>
      </c>
      <c r="BD22" s="161">
        <v>0</v>
      </c>
      <c r="BE22" s="161">
        <v>0</v>
      </c>
      <c r="BF22" s="161">
        <v>0</v>
      </c>
      <c r="BG22" s="157">
        <f t="shared" si="8"/>
        <v>0</v>
      </c>
      <c r="BH22" s="159">
        <v>0</v>
      </c>
      <c r="BI22" s="161">
        <v>0</v>
      </c>
      <c r="BJ22" s="161">
        <v>0</v>
      </c>
      <c r="BK22" s="161">
        <v>0</v>
      </c>
      <c r="BL22" s="157">
        <f t="shared" si="9"/>
        <v>0</v>
      </c>
      <c r="BM22" s="159">
        <v>0</v>
      </c>
      <c r="BN22" s="161">
        <v>0</v>
      </c>
      <c r="BO22" s="161">
        <v>0</v>
      </c>
      <c r="BP22" s="161">
        <v>0</v>
      </c>
      <c r="BQ22" s="157">
        <f t="shared" si="10"/>
        <v>0</v>
      </c>
      <c r="BR22" s="159">
        <f t="shared" si="11"/>
        <v>895971</v>
      </c>
      <c r="BS22" s="183">
        <f t="shared" si="11"/>
        <v>11894462</v>
      </c>
      <c r="BT22" s="161">
        <f t="shared" si="11"/>
        <v>60105</v>
      </c>
      <c r="BU22" s="161">
        <f t="shared" si="11"/>
        <v>181</v>
      </c>
      <c r="BV22" s="158">
        <f t="shared" si="12"/>
        <v>12850719</v>
      </c>
      <c r="BW22" s="129"/>
      <c r="BX22" s="681"/>
      <c r="BY22" s="328"/>
      <c r="BZ22" s="285"/>
      <c r="CA22" s="683"/>
      <c r="CB22" s="120"/>
    </row>
    <row r="23" spans="1:80" ht="13.5" x14ac:dyDescent="0.25">
      <c r="A23" s="303">
        <v>17</v>
      </c>
      <c r="B23" s="304" t="s">
        <v>238</v>
      </c>
      <c r="D23" s="305"/>
      <c r="E23" s="184">
        <f>10989443-157310-159394</f>
        <v>10672739</v>
      </c>
      <c r="F23" s="183">
        <f>86438288-1417689</f>
        <v>85020599</v>
      </c>
      <c r="G23" s="183">
        <v>16262</v>
      </c>
      <c r="H23" s="183">
        <v>0</v>
      </c>
      <c r="I23" s="157">
        <f t="shared" si="0"/>
        <v>95709600</v>
      </c>
      <c r="J23" s="159">
        <v>700086</v>
      </c>
      <c r="K23" s="161">
        <v>18750650</v>
      </c>
      <c r="L23" s="161">
        <v>12</v>
      </c>
      <c r="M23" s="161">
        <v>0</v>
      </c>
      <c r="N23" s="157">
        <f t="shared" si="13"/>
        <v>19450748</v>
      </c>
      <c r="O23" s="161">
        <v>714467</v>
      </c>
      <c r="P23" s="161">
        <v>10026372</v>
      </c>
      <c r="Q23" s="161">
        <v>5494</v>
      </c>
      <c r="R23" s="161">
        <v>0</v>
      </c>
      <c r="S23" s="157">
        <f>SUM(O23:R23)</f>
        <v>10746333</v>
      </c>
      <c r="T23" s="159">
        <v>713268</v>
      </c>
      <c r="U23" s="161">
        <v>7889601</v>
      </c>
      <c r="V23" s="161">
        <v>685</v>
      </c>
      <c r="W23" s="161">
        <v>0</v>
      </c>
      <c r="X23" s="157">
        <f t="shared" si="3"/>
        <v>8603554</v>
      </c>
      <c r="Y23" s="159">
        <v>732364</v>
      </c>
      <c r="Z23" s="161">
        <v>197468</v>
      </c>
      <c r="AA23" s="161">
        <v>1171</v>
      </c>
      <c r="AB23" s="161">
        <v>0</v>
      </c>
      <c r="AC23" s="157">
        <f t="shared" si="4"/>
        <v>931003</v>
      </c>
      <c r="AD23" s="159">
        <v>739254</v>
      </c>
      <c r="AE23" s="161">
        <v>20754593</v>
      </c>
      <c r="AF23" s="161">
        <v>-3945</v>
      </c>
      <c r="AG23" s="161">
        <v>0</v>
      </c>
      <c r="AH23" s="157">
        <f t="shared" si="5"/>
        <v>21489902</v>
      </c>
      <c r="AI23" s="159">
        <v>843420</v>
      </c>
      <c r="AJ23" s="161">
        <v>11829174</v>
      </c>
      <c r="AK23" s="161">
        <v>-551</v>
      </c>
      <c r="AL23" s="161">
        <v>2</v>
      </c>
      <c r="AM23" s="157">
        <f t="shared" si="14"/>
        <v>12672045</v>
      </c>
      <c r="AN23" s="159">
        <v>0</v>
      </c>
      <c r="AO23" s="161">
        <v>0</v>
      </c>
      <c r="AP23" s="161">
        <v>0</v>
      </c>
      <c r="AQ23" s="161">
        <v>0</v>
      </c>
      <c r="AR23" s="157">
        <f t="shared" si="1"/>
        <v>0</v>
      </c>
      <c r="AS23" s="159">
        <v>0</v>
      </c>
      <c r="AT23" s="161">
        <v>0</v>
      </c>
      <c r="AU23" s="161">
        <v>0</v>
      </c>
      <c r="AV23" s="161">
        <v>0</v>
      </c>
      <c r="AW23" s="157">
        <f t="shared" si="6"/>
        <v>0</v>
      </c>
      <c r="AX23" s="159">
        <v>0</v>
      </c>
      <c r="AY23" s="161">
        <v>0</v>
      </c>
      <c r="AZ23" s="161">
        <v>0</v>
      </c>
      <c r="BA23" s="161">
        <v>0</v>
      </c>
      <c r="BB23" s="157">
        <f t="shared" si="7"/>
        <v>0</v>
      </c>
      <c r="BC23" s="159">
        <v>0</v>
      </c>
      <c r="BD23" s="161">
        <v>0</v>
      </c>
      <c r="BE23" s="161">
        <v>0</v>
      </c>
      <c r="BF23" s="161">
        <v>0</v>
      </c>
      <c r="BG23" s="157">
        <f t="shared" si="8"/>
        <v>0</v>
      </c>
      <c r="BH23" s="159">
        <v>0</v>
      </c>
      <c r="BI23" s="161">
        <v>0</v>
      </c>
      <c r="BJ23" s="161">
        <v>0</v>
      </c>
      <c r="BK23" s="161">
        <v>0</v>
      </c>
      <c r="BL23" s="157">
        <f t="shared" si="9"/>
        <v>0</v>
      </c>
      <c r="BM23" s="159">
        <v>0</v>
      </c>
      <c r="BN23" s="161">
        <v>0</v>
      </c>
      <c r="BO23" s="161">
        <v>0</v>
      </c>
      <c r="BP23" s="161">
        <v>0</v>
      </c>
      <c r="BQ23" s="157">
        <f t="shared" si="10"/>
        <v>0</v>
      </c>
      <c r="BR23" s="159">
        <f t="shared" si="11"/>
        <v>4442859</v>
      </c>
      <c r="BS23" s="183">
        <f t="shared" si="11"/>
        <v>69447858</v>
      </c>
      <c r="BT23" s="161">
        <f t="shared" si="11"/>
        <v>2866</v>
      </c>
      <c r="BU23" s="161">
        <f t="shared" si="11"/>
        <v>2</v>
      </c>
      <c r="BV23" s="158">
        <f t="shared" si="12"/>
        <v>73893585</v>
      </c>
      <c r="BW23" s="129"/>
      <c r="BX23" s="681"/>
      <c r="BY23" s="328"/>
      <c r="BZ23" s="285"/>
      <c r="CA23" s="683"/>
      <c r="CB23" s="120"/>
    </row>
    <row r="24" spans="1:80" ht="13.5" x14ac:dyDescent="0.25">
      <c r="A24" s="303">
        <v>18</v>
      </c>
      <c r="B24" s="304" t="s">
        <v>239</v>
      </c>
      <c r="D24" s="308"/>
      <c r="E24" s="184">
        <f>3008733+77361+113639</f>
        <v>3199733</v>
      </c>
      <c r="F24" s="183">
        <f>51271899+2942526</f>
        <v>54214425</v>
      </c>
      <c r="G24" s="183">
        <f>1235365-220000</f>
        <v>1015365</v>
      </c>
      <c r="H24" s="183">
        <v>0</v>
      </c>
      <c r="I24" s="157">
        <f t="shared" si="0"/>
        <v>58429523</v>
      </c>
      <c r="J24" s="159">
        <v>160993</v>
      </c>
      <c r="K24" s="161">
        <v>5064136</v>
      </c>
      <c r="L24" s="161">
        <v>41738</v>
      </c>
      <c r="M24" s="161">
        <v>0</v>
      </c>
      <c r="N24" s="157">
        <f t="shared" si="13"/>
        <v>5266867</v>
      </c>
      <c r="O24" s="161">
        <v>214485</v>
      </c>
      <c r="P24" s="161">
        <v>3604496</v>
      </c>
      <c r="Q24" s="161">
        <v>406945</v>
      </c>
      <c r="R24" s="161">
        <v>0</v>
      </c>
      <c r="S24" s="157">
        <f t="shared" ref="S24:S33" si="15">SUM(O24:R24)</f>
        <v>4225926</v>
      </c>
      <c r="T24" s="159">
        <v>151588</v>
      </c>
      <c r="U24" s="161">
        <v>3760201</v>
      </c>
      <c r="V24" s="161">
        <v>-330458</v>
      </c>
      <c r="W24" s="161">
        <v>0</v>
      </c>
      <c r="X24" s="157">
        <f t="shared" si="3"/>
        <v>3581331</v>
      </c>
      <c r="Y24" s="159">
        <v>253655</v>
      </c>
      <c r="Z24" s="161">
        <v>5610378</v>
      </c>
      <c r="AA24" s="161">
        <v>217497</v>
      </c>
      <c r="AB24" s="161">
        <v>0</v>
      </c>
      <c r="AC24" s="157">
        <f t="shared" si="4"/>
        <v>6081530</v>
      </c>
      <c r="AD24" s="159">
        <v>161946</v>
      </c>
      <c r="AE24" s="161">
        <v>4026359</v>
      </c>
      <c r="AF24" s="161">
        <v>49127</v>
      </c>
      <c r="AG24" s="161">
        <v>0</v>
      </c>
      <c r="AH24" s="157">
        <f t="shared" si="5"/>
        <v>4237432</v>
      </c>
      <c r="AI24" s="159">
        <v>199306</v>
      </c>
      <c r="AJ24" s="161">
        <v>3846099</v>
      </c>
      <c r="AK24" s="161">
        <v>14444</v>
      </c>
      <c r="AL24" s="161">
        <v>0</v>
      </c>
      <c r="AM24" s="157">
        <f t="shared" si="14"/>
        <v>4059849</v>
      </c>
      <c r="AN24" s="159">
        <v>0</v>
      </c>
      <c r="AO24" s="161">
        <v>0</v>
      </c>
      <c r="AP24" s="161">
        <v>0</v>
      </c>
      <c r="AQ24" s="161">
        <v>0</v>
      </c>
      <c r="AR24" s="157">
        <f t="shared" si="1"/>
        <v>0</v>
      </c>
      <c r="AS24" s="159">
        <v>0</v>
      </c>
      <c r="AT24" s="161">
        <v>0</v>
      </c>
      <c r="AU24" s="161">
        <v>0</v>
      </c>
      <c r="AV24" s="161">
        <v>0</v>
      </c>
      <c r="AW24" s="157">
        <f t="shared" si="6"/>
        <v>0</v>
      </c>
      <c r="AX24" s="159">
        <v>0</v>
      </c>
      <c r="AY24" s="161">
        <v>0</v>
      </c>
      <c r="AZ24" s="161">
        <v>0</v>
      </c>
      <c r="BA24" s="161">
        <v>0</v>
      </c>
      <c r="BB24" s="157">
        <f t="shared" si="7"/>
        <v>0</v>
      </c>
      <c r="BC24" s="159">
        <v>0</v>
      </c>
      <c r="BD24" s="161">
        <v>0</v>
      </c>
      <c r="BE24" s="161">
        <v>0</v>
      </c>
      <c r="BF24" s="161">
        <v>0</v>
      </c>
      <c r="BG24" s="157">
        <f t="shared" si="8"/>
        <v>0</v>
      </c>
      <c r="BH24" s="159">
        <v>0</v>
      </c>
      <c r="BI24" s="161">
        <v>0</v>
      </c>
      <c r="BJ24" s="161">
        <v>0</v>
      </c>
      <c r="BK24" s="161">
        <v>0</v>
      </c>
      <c r="BL24" s="157">
        <f t="shared" si="9"/>
        <v>0</v>
      </c>
      <c r="BM24" s="159">
        <v>0</v>
      </c>
      <c r="BN24" s="161">
        <v>0</v>
      </c>
      <c r="BO24" s="161">
        <v>0</v>
      </c>
      <c r="BP24" s="161">
        <v>0</v>
      </c>
      <c r="BQ24" s="157">
        <f t="shared" si="10"/>
        <v>0</v>
      </c>
      <c r="BR24" s="159">
        <f t="shared" si="11"/>
        <v>1141973</v>
      </c>
      <c r="BS24" s="183">
        <f t="shared" si="11"/>
        <v>25911669</v>
      </c>
      <c r="BT24" s="161">
        <f t="shared" si="11"/>
        <v>399293</v>
      </c>
      <c r="BU24" s="161">
        <f t="shared" si="11"/>
        <v>0</v>
      </c>
      <c r="BV24" s="158">
        <f t="shared" si="12"/>
        <v>27452935</v>
      </c>
      <c r="BW24" s="129"/>
      <c r="BX24" s="681"/>
      <c r="BY24" s="328"/>
      <c r="BZ24" s="285"/>
      <c r="CA24" s="683"/>
      <c r="CB24" s="120"/>
    </row>
    <row r="25" spans="1:80" ht="13.5" x14ac:dyDescent="0.25">
      <c r="A25" s="309">
        <v>19</v>
      </c>
      <c r="B25" s="310" t="s">
        <v>240</v>
      </c>
      <c r="D25" s="307" t="s">
        <v>88</v>
      </c>
      <c r="E25" s="184">
        <f>939592+33000-33000</f>
        <v>939592</v>
      </c>
      <c r="F25" s="183">
        <f>196766757+25473882</f>
        <v>222240639</v>
      </c>
      <c r="G25" s="183">
        <v>11926</v>
      </c>
      <c r="H25" s="183">
        <v>0</v>
      </c>
      <c r="I25" s="157">
        <f t="shared" si="0"/>
        <v>223192157</v>
      </c>
      <c r="J25" s="159">
        <v>43998</v>
      </c>
      <c r="K25" s="161">
        <v>855041</v>
      </c>
      <c r="L25" s="161">
        <v>0</v>
      </c>
      <c r="M25" s="161">
        <v>0</v>
      </c>
      <c r="N25" s="157">
        <f t="shared" si="13"/>
        <v>899039</v>
      </c>
      <c r="O25" s="161">
        <v>60471</v>
      </c>
      <c r="P25" s="161">
        <v>21334558</v>
      </c>
      <c r="Q25" s="161">
        <v>85</v>
      </c>
      <c r="R25" s="161">
        <v>0</v>
      </c>
      <c r="S25" s="157">
        <f t="shared" si="15"/>
        <v>21395114</v>
      </c>
      <c r="T25" s="159">
        <v>56813</v>
      </c>
      <c r="U25" s="161">
        <v>21174112</v>
      </c>
      <c r="V25" s="161">
        <v>627</v>
      </c>
      <c r="W25" s="161">
        <v>0</v>
      </c>
      <c r="X25" s="157">
        <f t="shared" si="3"/>
        <v>21231552</v>
      </c>
      <c r="Y25" s="159">
        <v>61229</v>
      </c>
      <c r="Z25" s="161">
        <v>33784073</v>
      </c>
      <c r="AA25" s="161">
        <v>1609</v>
      </c>
      <c r="AB25" s="161">
        <v>0</v>
      </c>
      <c r="AC25" s="157">
        <f t="shared" si="4"/>
        <v>33846911</v>
      </c>
      <c r="AD25" s="159">
        <v>56306</v>
      </c>
      <c r="AE25" s="161">
        <v>12761046</v>
      </c>
      <c r="AF25" s="161">
        <v>222</v>
      </c>
      <c r="AG25" s="161">
        <v>0</v>
      </c>
      <c r="AH25" s="157">
        <f t="shared" si="5"/>
        <v>12817574</v>
      </c>
      <c r="AI25" s="159">
        <v>52085</v>
      </c>
      <c r="AJ25" s="161">
        <v>22290720</v>
      </c>
      <c r="AK25" s="161">
        <v>214</v>
      </c>
      <c r="AL25" s="161">
        <v>0</v>
      </c>
      <c r="AM25" s="157">
        <f t="shared" si="14"/>
        <v>22343019</v>
      </c>
      <c r="AN25" s="159">
        <v>0</v>
      </c>
      <c r="AO25" s="161">
        <v>0</v>
      </c>
      <c r="AP25" s="161">
        <v>0</v>
      </c>
      <c r="AQ25" s="161">
        <v>0</v>
      </c>
      <c r="AR25" s="157">
        <f t="shared" si="1"/>
        <v>0</v>
      </c>
      <c r="AS25" s="159">
        <v>0</v>
      </c>
      <c r="AT25" s="161">
        <v>0</v>
      </c>
      <c r="AU25" s="161">
        <v>0</v>
      </c>
      <c r="AV25" s="161">
        <v>0</v>
      </c>
      <c r="AW25" s="157">
        <f t="shared" si="6"/>
        <v>0</v>
      </c>
      <c r="AX25" s="159">
        <v>0</v>
      </c>
      <c r="AY25" s="161">
        <v>0</v>
      </c>
      <c r="AZ25" s="161">
        <v>0</v>
      </c>
      <c r="BA25" s="161">
        <v>0</v>
      </c>
      <c r="BB25" s="157">
        <f t="shared" si="7"/>
        <v>0</v>
      </c>
      <c r="BC25" s="159">
        <v>0</v>
      </c>
      <c r="BD25" s="161">
        <v>0</v>
      </c>
      <c r="BE25" s="161">
        <v>0</v>
      </c>
      <c r="BF25" s="161">
        <v>0</v>
      </c>
      <c r="BG25" s="157">
        <f t="shared" si="8"/>
        <v>0</v>
      </c>
      <c r="BH25" s="159">
        <v>0</v>
      </c>
      <c r="BI25" s="161">
        <v>0</v>
      </c>
      <c r="BJ25" s="161">
        <v>0</v>
      </c>
      <c r="BK25" s="161">
        <v>0</v>
      </c>
      <c r="BL25" s="157">
        <f t="shared" si="9"/>
        <v>0</v>
      </c>
      <c r="BM25" s="159">
        <v>0</v>
      </c>
      <c r="BN25" s="161">
        <v>0</v>
      </c>
      <c r="BO25" s="161">
        <v>0</v>
      </c>
      <c r="BP25" s="161">
        <v>0</v>
      </c>
      <c r="BQ25" s="157">
        <f t="shared" si="10"/>
        <v>0</v>
      </c>
      <c r="BR25" s="159">
        <f t="shared" si="11"/>
        <v>330902</v>
      </c>
      <c r="BS25" s="183">
        <f t="shared" si="11"/>
        <v>112199550</v>
      </c>
      <c r="BT25" s="161">
        <f t="shared" si="11"/>
        <v>2757</v>
      </c>
      <c r="BU25" s="161">
        <f t="shared" si="11"/>
        <v>0</v>
      </c>
      <c r="BV25" s="158">
        <f t="shared" si="12"/>
        <v>112533209</v>
      </c>
      <c r="BW25" s="129"/>
      <c r="BX25" s="681"/>
      <c r="BY25" s="328"/>
      <c r="BZ25" s="285"/>
      <c r="CA25" s="683"/>
      <c r="CB25" s="120"/>
    </row>
    <row r="26" spans="1:80" ht="13.5" x14ac:dyDescent="0.25">
      <c r="A26" s="309">
        <v>20</v>
      </c>
      <c r="B26" s="720" t="s">
        <v>241</v>
      </c>
      <c r="C26" s="720"/>
      <c r="D26" s="305"/>
      <c r="E26" s="184">
        <f>206028-25953</f>
        <v>180075</v>
      </c>
      <c r="F26" s="183">
        <f>568781-107300</f>
        <v>461481</v>
      </c>
      <c r="G26" s="183">
        <v>3681</v>
      </c>
      <c r="H26" s="183">
        <v>0</v>
      </c>
      <c r="I26" s="157">
        <f t="shared" si="0"/>
        <v>645237</v>
      </c>
      <c r="J26" s="159">
        <v>11804</v>
      </c>
      <c r="K26" s="161">
        <v>7489</v>
      </c>
      <c r="L26" s="161">
        <v>2</v>
      </c>
      <c r="M26" s="161">
        <v>0</v>
      </c>
      <c r="N26" s="157">
        <f t="shared" si="13"/>
        <v>19295</v>
      </c>
      <c r="O26" s="161">
        <v>10986</v>
      </c>
      <c r="P26" s="161">
        <v>127530</v>
      </c>
      <c r="Q26" s="161">
        <v>11</v>
      </c>
      <c r="R26" s="161"/>
      <c r="S26" s="157">
        <f t="shared" si="15"/>
        <v>138527</v>
      </c>
      <c r="T26" s="159">
        <v>10312</v>
      </c>
      <c r="U26" s="161">
        <v>7489</v>
      </c>
      <c r="V26" s="161">
        <v>154</v>
      </c>
      <c r="W26" s="161">
        <v>0</v>
      </c>
      <c r="X26" s="157">
        <f t="shared" si="3"/>
        <v>17955</v>
      </c>
      <c r="Y26" s="159">
        <v>9799</v>
      </c>
      <c r="Z26" s="161">
        <v>7601</v>
      </c>
      <c r="AA26" s="161">
        <v>22</v>
      </c>
      <c r="AB26" s="161"/>
      <c r="AC26" s="157">
        <f t="shared" si="4"/>
        <v>17422</v>
      </c>
      <c r="AD26" s="159">
        <v>11235</v>
      </c>
      <c r="AE26" s="161">
        <v>127489</v>
      </c>
      <c r="AF26" s="161">
        <v>1210</v>
      </c>
      <c r="AG26" s="161">
        <v>0</v>
      </c>
      <c r="AH26" s="157">
        <f t="shared" si="5"/>
        <v>139934</v>
      </c>
      <c r="AI26" s="159">
        <v>11159</v>
      </c>
      <c r="AJ26" s="161">
        <v>-7489</v>
      </c>
      <c r="AK26" s="161">
        <v>48</v>
      </c>
      <c r="AL26" s="161">
        <v>0</v>
      </c>
      <c r="AM26" s="157">
        <f t="shared" si="14"/>
        <v>3718</v>
      </c>
      <c r="AN26" s="159"/>
      <c r="AO26" s="161"/>
      <c r="AP26" s="161"/>
      <c r="AQ26" s="161"/>
      <c r="AR26" s="157"/>
      <c r="AS26" s="159"/>
      <c r="AT26" s="161"/>
      <c r="AU26" s="161"/>
      <c r="AV26" s="161"/>
      <c r="AW26" s="157"/>
      <c r="AX26" s="159"/>
      <c r="AY26" s="161"/>
      <c r="AZ26" s="161"/>
      <c r="BA26" s="161"/>
      <c r="BB26" s="157"/>
      <c r="BC26" s="159"/>
      <c r="BD26" s="161"/>
      <c r="BE26" s="161"/>
      <c r="BF26" s="161"/>
      <c r="BG26" s="157"/>
      <c r="BH26" s="159"/>
      <c r="BI26" s="161"/>
      <c r="BJ26" s="161"/>
      <c r="BK26" s="161"/>
      <c r="BL26" s="157"/>
      <c r="BM26" s="159"/>
      <c r="BN26" s="161"/>
      <c r="BO26" s="161"/>
      <c r="BP26" s="161"/>
      <c r="BQ26" s="157"/>
      <c r="BR26" s="159">
        <f t="shared" si="11"/>
        <v>65295</v>
      </c>
      <c r="BS26" s="183">
        <f t="shared" si="11"/>
        <v>270109</v>
      </c>
      <c r="BT26" s="161">
        <f t="shared" si="11"/>
        <v>1447</v>
      </c>
      <c r="BU26" s="161">
        <f t="shared" si="11"/>
        <v>0</v>
      </c>
      <c r="BV26" s="158">
        <f t="shared" si="12"/>
        <v>336851</v>
      </c>
      <c r="BW26" s="129"/>
      <c r="BX26" s="681"/>
      <c r="BY26" s="328"/>
      <c r="BZ26" s="285"/>
      <c r="CA26" s="683"/>
      <c r="CB26" s="120"/>
    </row>
    <row r="27" spans="1:80" ht="13.5" x14ac:dyDescent="0.25">
      <c r="A27" s="309">
        <v>21</v>
      </c>
      <c r="B27" s="311" t="s">
        <v>242</v>
      </c>
      <c r="C27" s="311"/>
      <c r="D27" s="305"/>
      <c r="E27" s="184">
        <f>154283-1286-10364</f>
        <v>142633</v>
      </c>
      <c r="F27" s="183">
        <v>208</v>
      </c>
      <c r="G27" s="183">
        <f>1821-350</f>
        <v>1471</v>
      </c>
      <c r="H27" s="183">
        <v>0</v>
      </c>
      <c r="I27" s="157">
        <f t="shared" si="0"/>
        <v>144312</v>
      </c>
      <c r="J27" s="159">
        <v>8666</v>
      </c>
      <c r="K27" s="161">
        <v>14</v>
      </c>
      <c r="L27" s="161">
        <v>0</v>
      </c>
      <c r="M27" s="161">
        <v>0</v>
      </c>
      <c r="N27" s="157">
        <f t="shared" si="13"/>
        <v>8680</v>
      </c>
      <c r="O27" s="161">
        <v>9183</v>
      </c>
      <c r="P27" s="161">
        <v>292</v>
      </c>
      <c r="Q27" s="161">
        <v>14</v>
      </c>
      <c r="R27" s="161">
        <v>0</v>
      </c>
      <c r="S27" s="157">
        <f t="shared" si="15"/>
        <v>9489</v>
      </c>
      <c r="T27" s="159">
        <v>8188</v>
      </c>
      <c r="U27" s="161">
        <v>171</v>
      </c>
      <c r="V27" s="161">
        <v>14</v>
      </c>
      <c r="W27" s="161">
        <v>0</v>
      </c>
      <c r="X27" s="157">
        <f t="shared" si="3"/>
        <v>8373</v>
      </c>
      <c r="Y27" s="159">
        <v>9578</v>
      </c>
      <c r="Z27" s="161">
        <v>0</v>
      </c>
      <c r="AA27" s="161">
        <v>29</v>
      </c>
      <c r="AB27" s="161">
        <v>0</v>
      </c>
      <c r="AC27" s="157">
        <f t="shared" si="4"/>
        <v>9607</v>
      </c>
      <c r="AD27" s="159">
        <v>8960</v>
      </c>
      <c r="AE27" s="161">
        <v>0</v>
      </c>
      <c r="AF27" s="161">
        <v>15</v>
      </c>
      <c r="AG27" s="161">
        <v>0</v>
      </c>
      <c r="AH27" s="157">
        <f t="shared" si="5"/>
        <v>8975</v>
      </c>
      <c r="AI27" s="159">
        <v>8958</v>
      </c>
      <c r="AJ27" s="161">
        <v>0</v>
      </c>
      <c r="AK27" s="161">
        <v>24</v>
      </c>
      <c r="AL27" s="161">
        <v>0</v>
      </c>
      <c r="AM27" s="157">
        <f t="shared" si="14"/>
        <v>8982</v>
      </c>
      <c r="AN27" s="159"/>
      <c r="AO27" s="161"/>
      <c r="AP27" s="161"/>
      <c r="AQ27" s="161"/>
      <c r="AR27" s="157"/>
      <c r="AS27" s="159"/>
      <c r="AT27" s="161"/>
      <c r="AU27" s="161"/>
      <c r="AV27" s="161"/>
      <c r="AW27" s="157"/>
      <c r="AX27" s="159"/>
      <c r="AY27" s="161"/>
      <c r="AZ27" s="161"/>
      <c r="BA27" s="161"/>
      <c r="BB27" s="157"/>
      <c r="BC27" s="159"/>
      <c r="BD27" s="161"/>
      <c r="BE27" s="161"/>
      <c r="BF27" s="161"/>
      <c r="BG27" s="157"/>
      <c r="BH27" s="159"/>
      <c r="BI27" s="161"/>
      <c r="BJ27" s="161"/>
      <c r="BK27" s="161"/>
      <c r="BL27" s="157"/>
      <c r="BM27" s="159"/>
      <c r="BN27" s="161"/>
      <c r="BO27" s="161"/>
      <c r="BP27" s="161"/>
      <c r="BQ27" s="157"/>
      <c r="BR27" s="159">
        <f t="shared" si="11"/>
        <v>53533</v>
      </c>
      <c r="BS27" s="183">
        <f t="shared" si="11"/>
        <v>477</v>
      </c>
      <c r="BT27" s="161">
        <f t="shared" si="11"/>
        <v>96</v>
      </c>
      <c r="BU27" s="161">
        <f t="shared" si="11"/>
        <v>0</v>
      </c>
      <c r="BV27" s="158">
        <f t="shared" si="12"/>
        <v>54106</v>
      </c>
      <c r="BW27" s="129"/>
      <c r="BX27" s="681"/>
      <c r="BY27" s="328"/>
      <c r="BZ27" s="285"/>
      <c r="CA27" s="683"/>
      <c r="CB27" s="120"/>
    </row>
    <row r="28" spans="1:80" ht="13.5" x14ac:dyDescent="0.25">
      <c r="A28" s="303">
        <v>22</v>
      </c>
      <c r="B28" s="304" t="s">
        <v>243</v>
      </c>
      <c r="D28" s="312"/>
      <c r="E28" s="184">
        <f>25324503-237713+129318</f>
        <v>25216108</v>
      </c>
      <c r="F28" s="183">
        <v>665603</v>
      </c>
      <c r="G28" s="183">
        <f>809856+108395</f>
        <v>918251</v>
      </c>
      <c r="H28" s="183">
        <v>0</v>
      </c>
      <c r="I28" s="157">
        <f t="shared" si="0"/>
        <v>26799962</v>
      </c>
      <c r="J28" s="159">
        <v>1623163</v>
      </c>
      <c r="K28" s="161">
        <v>12933</v>
      </c>
      <c r="L28" s="161">
        <v>778</v>
      </c>
      <c r="M28" s="161">
        <v>0</v>
      </c>
      <c r="N28" s="157">
        <f t="shared" si="13"/>
        <v>1636874</v>
      </c>
      <c r="O28" s="161">
        <v>1869662</v>
      </c>
      <c r="P28" s="161">
        <v>53298</v>
      </c>
      <c r="Q28" s="161">
        <v>2364</v>
      </c>
      <c r="R28" s="161">
        <v>0</v>
      </c>
      <c r="S28" s="157">
        <f t="shared" si="15"/>
        <v>1925324</v>
      </c>
      <c r="T28" s="159">
        <f>2070318-170134</f>
        <v>1900184</v>
      </c>
      <c r="U28" s="161">
        <v>67576</v>
      </c>
      <c r="V28" s="161">
        <f>53533-59</f>
        <v>53474</v>
      </c>
      <c r="W28" s="161">
        <v>0</v>
      </c>
      <c r="X28" s="157">
        <f t="shared" si="3"/>
        <v>2021234</v>
      </c>
      <c r="Y28" s="159">
        <f>1876945+170135</f>
        <v>2047080</v>
      </c>
      <c r="Z28" s="161">
        <f>58735-1</f>
        <v>58734</v>
      </c>
      <c r="AA28" s="161">
        <f>17596-1921</f>
        <v>15675</v>
      </c>
      <c r="AB28" s="161">
        <v>0</v>
      </c>
      <c r="AC28" s="157">
        <f t="shared" si="4"/>
        <v>2121489</v>
      </c>
      <c r="AD28" s="159">
        <v>2048652</v>
      </c>
      <c r="AE28" s="161">
        <v>88791</v>
      </c>
      <c r="AF28" s="161">
        <v>10397</v>
      </c>
      <c r="AG28" s="161">
        <v>0</v>
      </c>
      <c r="AH28" s="157">
        <f t="shared" si="5"/>
        <v>2147840</v>
      </c>
      <c r="AI28" s="159">
        <v>2122651</v>
      </c>
      <c r="AJ28" s="161">
        <v>90376</v>
      </c>
      <c r="AK28" s="161">
        <v>29586</v>
      </c>
      <c r="AL28" s="161">
        <v>0</v>
      </c>
      <c r="AM28" s="157">
        <f t="shared" si="14"/>
        <v>2242613</v>
      </c>
      <c r="AN28" s="159">
        <v>0</v>
      </c>
      <c r="AO28" s="161">
        <v>0</v>
      </c>
      <c r="AP28" s="161">
        <v>0</v>
      </c>
      <c r="AQ28" s="161">
        <v>0</v>
      </c>
      <c r="AR28" s="157">
        <f t="shared" si="1"/>
        <v>0</v>
      </c>
      <c r="AS28" s="159">
        <v>0</v>
      </c>
      <c r="AT28" s="161">
        <v>0</v>
      </c>
      <c r="AU28" s="161">
        <v>0</v>
      </c>
      <c r="AV28" s="161">
        <v>0</v>
      </c>
      <c r="AW28" s="157">
        <f t="shared" si="6"/>
        <v>0</v>
      </c>
      <c r="AX28" s="159">
        <v>0</v>
      </c>
      <c r="AY28" s="161">
        <v>0</v>
      </c>
      <c r="AZ28" s="161">
        <v>0</v>
      </c>
      <c r="BA28" s="161">
        <v>0</v>
      </c>
      <c r="BB28" s="157">
        <f t="shared" si="7"/>
        <v>0</v>
      </c>
      <c r="BC28" s="159">
        <v>0</v>
      </c>
      <c r="BD28" s="161">
        <v>0</v>
      </c>
      <c r="BE28" s="161">
        <v>0</v>
      </c>
      <c r="BF28" s="161">
        <v>0</v>
      </c>
      <c r="BG28" s="157">
        <f t="shared" si="8"/>
        <v>0</v>
      </c>
      <c r="BH28" s="159">
        <v>0</v>
      </c>
      <c r="BI28" s="161">
        <v>0</v>
      </c>
      <c r="BJ28" s="161">
        <v>0</v>
      </c>
      <c r="BK28" s="161">
        <v>0</v>
      </c>
      <c r="BL28" s="157">
        <f t="shared" si="9"/>
        <v>0</v>
      </c>
      <c r="BM28" s="159">
        <v>0</v>
      </c>
      <c r="BN28" s="161">
        <v>0</v>
      </c>
      <c r="BO28" s="161">
        <v>0</v>
      </c>
      <c r="BP28" s="161">
        <v>0</v>
      </c>
      <c r="BQ28" s="157">
        <f t="shared" si="10"/>
        <v>0</v>
      </c>
      <c r="BR28" s="159">
        <f t="shared" si="11"/>
        <v>11611392</v>
      </c>
      <c r="BS28" s="183">
        <f t="shared" si="11"/>
        <v>371708</v>
      </c>
      <c r="BT28" s="161">
        <f t="shared" si="11"/>
        <v>112274</v>
      </c>
      <c r="BU28" s="161">
        <f t="shared" si="11"/>
        <v>0</v>
      </c>
      <c r="BV28" s="158">
        <f t="shared" si="12"/>
        <v>12095374</v>
      </c>
      <c r="BW28" s="129"/>
      <c r="BX28" s="681"/>
      <c r="BY28" s="328"/>
      <c r="BZ28" s="285"/>
      <c r="CA28" s="683"/>
      <c r="CB28" s="120"/>
    </row>
    <row r="29" spans="1:80" ht="13.5" x14ac:dyDescent="0.25">
      <c r="A29" s="303">
        <v>23</v>
      </c>
      <c r="B29" s="304" t="s">
        <v>244</v>
      </c>
      <c r="D29" s="305"/>
      <c r="E29" s="184">
        <f>44573925+763424+1146390</f>
        <v>46483739</v>
      </c>
      <c r="F29" s="183">
        <f>7091013-117000</f>
        <v>6974013</v>
      </c>
      <c r="G29" s="183">
        <f>773683+1087186</f>
        <v>1860869</v>
      </c>
      <c r="H29" s="183">
        <v>0</v>
      </c>
      <c r="I29" s="157">
        <f t="shared" si="0"/>
        <v>55318621</v>
      </c>
      <c r="J29" s="159">
        <v>2933087</v>
      </c>
      <c r="K29" s="161">
        <v>678492</v>
      </c>
      <c r="L29" s="161">
        <v>10249</v>
      </c>
      <c r="M29" s="161">
        <v>0</v>
      </c>
      <c r="N29" s="157">
        <f t="shared" si="13"/>
        <v>3621828</v>
      </c>
      <c r="O29" s="161">
        <v>4068881</v>
      </c>
      <c r="P29" s="161">
        <v>495981</v>
      </c>
      <c r="Q29" s="161">
        <v>138137</v>
      </c>
      <c r="R29" s="161">
        <v>0</v>
      </c>
      <c r="S29" s="157">
        <f t="shared" si="15"/>
        <v>4702999</v>
      </c>
      <c r="T29" s="159">
        <v>3355923</v>
      </c>
      <c r="U29" s="161">
        <v>426125</v>
      </c>
      <c r="V29" s="161">
        <v>74664</v>
      </c>
      <c r="W29" s="161">
        <v>0</v>
      </c>
      <c r="X29" s="157">
        <f t="shared" si="3"/>
        <v>3856712</v>
      </c>
      <c r="Y29" s="159">
        <f>3594350</f>
        <v>3594350</v>
      </c>
      <c r="Z29" s="161">
        <f>787951</f>
        <v>787951</v>
      </c>
      <c r="AA29" s="161">
        <v>15588</v>
      </c>
      <c r="AB29" s="161">
        <v>0</v>
      </c>
      <c r="AC29" s="157">
        <f t="shared" si="4"/>
        <v>4397889</v>
      </c>
      <c r="AD29" s="159">
        <v>3890738</v>
      </c>
      <c r="AE29" s="161">
        <v>424547</v>
      </c>
      <c r="AF29" s="161">
        <v>194372</v>
      </c>
      <c r="AG29" s="161">
        <v>0</v>
      </c>
      <c r="AH29" s="157">
        <f t="shared" si="5"/>
        <v>4509657</v>
      </c>
      <c r="AI29" s="159">
        <v>3794447</v>
      </c>
      <c r="AJ29" s="161">
        <v>402390</v>
      </c>
      <c r="AK29" s="161">
        <v>64987</v>
      </c>
      <c r="AL29" s="161">
        <v>0</v>
      </c>
      <c r="AM29" s="157">
        <f t="shared" si="14"/>
        <v>4261824</v>
      </c>
      <c r="AN29" s="159">
        <v>0</v>
      </c>
      <c r="AO29" s="161">
        <v>0</v>
      </c>
      <c r="AP29" s="161">
        <v>0</v>
      </c>
      <c r="AQ29" s="161">
        <v>0</v>
      </c>
      <c r="AR29" s="157">
        <f t="shared" si="1"/>
        <v>0</v>
      </c>
      <c r="AS29" s="159">
        <v>0</v>
      </c>
      <c r="AT29" s="161">
        <v>0</v>
      </c>
      <c r="AU29" s="161">
        <v>0</v>
      </c>
      <c r="AV29" s="161">
        <v>0</v>
      </c>
      <c r="AW29" s="157">
        <f t="shared" si="6"/>
        <v>0</v>
      </c>
      <c r="AX29" s="159">
        <v>0</v>
      </c>
      <c r="AY29" s="161">
        <v>0</v>
      </c>
      <c r="AZ29" s="161">
        <v>0</v>
      </c>
      <c r="BA29" s="161">
        <v>0</v>
      </c>
      <c r="BB29" s="157">
        <f t="shared" si="7"/>
        <v>0</v>
      </c>
      <c r="BC29" s="159">
        <v>0</v>
      </c>
      <c r="BD29" s="161">
        <v>0</v>
      </c>
      <c r="BE29" s="161">
        <v>0</v>
      </c>
      <c r="BF29" s="161">
        <v>0</v>
      </c>
      <c r="BG29" s="157">
        <f t="shared" si="8"/>
        <v>0</v>
      </c>
      <c r="BH29" s="159">
        <v>0</v>
      </c>
      <c r="BI29" s="161">
        <v>0</v>
      </c>
      <c r="BJ29" s="161">
        <v>0</v>
      </c>
      <c r="BK29" s="161">
        <v>0</v>
      </c>
      <c r="BL29" s="157">
        <f t="shared" si="9"/>
        <v>0</v>
      </c>
      <c r="BM29" s="159">
        <v>0</v>
      </c>
      <c r="BN29" s="161">
        <v>0</v>
      </c>
      <c r="BO29" s="161">
        <v>0</v>
      </c>
      <c r="BP29" s="161">
        <v>0</v>
      </c>
      <c r="BQ29" s="157">
        <f>SUM(BM29:BP29)</f>
        <v>0</v>
      </c>
      <c r="BR29" s="159">
        <f t="shared" si="11"/>
        <v>21637426</v>
      </c>
      <c r="BS29" s="183">
        <f t="shared" si="11"/>
        <v>3215486</v>
      </c>
      <c r="BT29" s="161">
        <f t="shared" si="11"/>
        <v>497997</v>
      </c>
      <c r="BU29" s="161">
        <f t="shared" si="11"/>
        <v>0</v>
      </c>
      <c r="BV29" s="158">
        <f t="shared" si="12"/>
        <v>25350909</v>
      </c>
      <c r="BW29" s="129"/>
      <c r="BX29" s="681"/>
      <c r="BY29" s="328"/>
      <c r="BZ29" s="285"/>
      <c r="CA29" s="683"/>
      <c r="CB29" s="120"/>
    </row>
    <row r="30" spans="1:80" ht="13.5" x14ac:dyDescent="0.25">
      <c r="A30" s="303">
        <v>24</v>
      </c>
      <c r="B30" s="304" t="s">
        <v>245</v>
      </c>
      <c r="D30" s="313"/>
      <c r="E30" s="184">
        <v>349353</v>
      </c>
      <c r="F30" s="183">
        <v>820</v>
      </c>
      <c r="G30" s="183">
        <v>5494</v>
      </c>
      <c r="H30" s="183">
        <v>0</v>
      </c>
      <c r="I30" s="157">
        <f t="shared" si="0"/>
        <v>355667</v>
      </c>
      <c r="J30" s="159">
        <v>58387</v>
      </c>
      <c r="K30" s="161">
        <v>0</v>
      </c>
      <c r="L30" s="161">
        <v>2856</v>
      </c>
      <c r="M30" s="161">
        <v>0</v>
      </c>
      <c r="N30" s="157">
        <f t="shared" si="13"/>
        <v>61243</v>
      </c>
      <c r="O30" s="161">
        <v>23209</v>
      </c>
      <c r="P30" s="161">
        <v>54</v>
      </c>
      <c r="Q30" s="161">
        <v>0</v>
      </c>
      <c r="R30" s="161">
        <v>0</v>
      </c>
      <c r="S30" s="157">
        <f t="shared" si="15"/>
        <v>23263</v>
      </c>
      <c r="T30" s="159">
        <v>22095</v>
      </c>
      <c r="U30" s="161">
        <v>36</v>
      </c>
      <c r="V30" s="161">
        <v>0</v>
      </c>
      <c r="W30" s="161">
        <v>0</v>
      </c>
      <c r="X30" s="157">
        <f t="shared" si="3"/>
        <v>22131</v>
      </c>
      <c r="Y30" s="159">
        <v>21325</v>
      </c>
      <c r="Z30" s="161">
        <v>1</v>
      </c>
      <c r="AA30" s="161">
        <v>0</v>
      </c>
      <c r="AB30" s="161">
        <v>0</v>
      </c>
      <c r="AC30" s="157">
        <f t="shared" si="4"/>
        <v>21326</v>
      </c>
      <c r="AD30" s="159">
        <v>21927</v>
      </c>
      <c r="AE30" s="161">
        <v>750</v>
      </c>
      <c r="AF30" s="161">
        <v>32</v>
      </c>
      <c r="AG30" s="161">
        <v>0</v>
      </c>
      <c r="AH30" s="157">
        <f t="shared" si="5"/>
        <v>22709</v>
      </c>
      <c r="AI30" s="159">
        <v>22356</v>
      </c>
      <c r="AJ30" s="161">
        <v>0</v>
      </c>
      <c r="AK30" s="161">
        <v>321</v>
      </c>
      <c r="AL30" s="161">
        <v>0</v>
      </c>
      <c r="AM30" s="157">
        <f t="shared" si="14"/>
        <v>22677</v>
      </c>
      <c r="AN30" s="159">
        <v>0</v>
      </c>
      <c r="AO30" s="161">
        <v>0</v>
      </c>
      <c r="AP30" s="161">
        <v>0</v>
      </c>
      <c r="AQ30" s="161">
        <v>0</v>
      </c>
      <c r="AR30" s="157">
        <f t="shared" si="1"/>
        <v>0</v>
      </c>
      <c r="AS30" s="159">
        <v>0</v>
      </c>
      <c r="AT30" s="161">
        <v>0</v>
      </c>
      <c r="AU30" s="161">
        <v>0</v>
      </c>
      <c r="AV30" s="161">
        <v>0</v>
      </c>
      <c r="AW30" s="157">
        <f t="shared" si="6"/>
        <v>0</v>
      </c>
      <c r="AX30" s="159">
        <v>0</v>
      </c>
      <c r="AY30" s="161">
        <v>0</v>
      </c>
      <c r="AZ30" s="161">
        <v>0</v>
      </c>
      <c r="BA30" s="161">
        <v>0</v>
      </c>
      <c r="BB30" s="157">
        <f t="shared" si="7"/>
        <v>0</v>
      </c>
      <c r="BC30" s="159">
        <v>0</v>
      </c>
      <c r="BD30" s="161">
        <v>0</v>
      </c>
      <c r="BE30" s="161">
        <v>0</v>
      </c>
      <c r="BF30" s="161">
        <v>0</v>
      </c>
      <c r="BG30" s="157">
        <f t="shared" si="8"/>
        <v>0</v>
      </c>
      <c r="BH30" s="159">
        <v>0</v>
      </c>
      <c r="BI30" s="161">
        <v>0</v>
      </c>
      <c r="BJ30" s="161">
        <v>0</v>
      </c>
      <c r="BK30" s="161">
        <v>0</v>
      </c>
      <c r="BL30" s="157">
        <f t="shared" si="9"/>
        <v>0</v>
      </c>
      <c r="BM30" s="159">
        <v>0</v>
      </c>
      <c r="BN30" s="161">
        <v>0</v>
      </c>
      <c r="BO30" s="161">
        <v>0</v>
      </c>
      <c r="BP30" s="161">
        <v>0</v>
      </c>
      <c r="BQ30" s="157">
        <f t="shared" si="10"/>
        <v>0</v>
      </c>
      <c r="BR30" s="159">
        <f t="shared" si="11"/>
        <v>169299</v>
      </c>
      <c r="BS30" s="183">
        <f t="shared" si="11"/>
        <v>841</v>
      </c>
      <c r="BT30" s="161">
        <f t="shared" si="11"/>
        <v>3209</v>
      </c>
      <c r="BU30" s="161">
        <f t="shared" si="11"/>
        <v>0</v>
      </c>
      <c r="BV30" s="158">
        <f t="shared" si="12"/>
        <v>173349</v>
      </c>
      <c r="BW30" s="129"/>
      <c r="BX30" s="681"/>
      <c r="BY30" s="328"/>
      <c r="BZ30" s="285"/>
      <c r="CA30" s="683"/>
      <c r="CB30" s="120"/>
    </row>
    <row r="31" spans="1:80" ht="13.5" x14ac:dyDescent="0.25">
      <c r="A31" s="303">
        <v>25</v>
      </c>
      <c r="B31" s="304" t="s">
        <v>246</v>
      </c>
      <c r="D31" s="305"/>
      <c r="E31" s="184">
        <f>15624390-261000+162440</f>
        <v>15525830</v>
      </c>
      <c r="F31" s="183">
        <f>3172073-33000</f>
        <v>3139073</v>
      </c>
      <c r="G31" s="183">
        <f>1064158-284440</f>
        <v>779718</v>
      </c>
      <c r="H31" s="183">
        <v>0</v>
      </c>
      <c r="I31" s="157">
        <f t="shared" si="0"/>
        <v>19444621</v>
      </c>
      <c r="J31" s="159">
        <v>897125</v>
      </c>
      <c r="K31" s="161">
        <v>255458</v>
      </c>
      <c r="L31" s="161">
        <v>3066</v>
      </c>
      <c r="M31" s="161">
        <v>0</v>
      </c>
      <c r="N31" s="157">
        <f t="shared" si="13"/>
        <v>1155649</v>
      </c>
      <c r="O31" s="161">
        <v>904840</v>
      </c>
      <c r="P31" s="161">
        <v>258171</v>
      </c>
      <c r="Q31" s="161">
        <v>162238</v>
      </c>
      <c r="R31" s="161">
        <v>294</v>
      </c>
      <c r="S31" s="157">
        <f t="shared" si="15"/>
        <v>1325543</v>
      </c>
      <c r="T31" s="159">
        <v>898753</v>
      </c>
      <c r="U31" s="161">
        <v>258449</v>
      </c>
      <c r="V31" s="161">
        <v>11048</v>
      </c>
      <c r="W31" s="161">
        <v>0</v>
      </c>
      <c r="X31" s="157">
        <f t="shared" si="3"/>
        <v>1168250</v>
      </c>
      <c r="Y31" s="159">
        <v>1036875</v>
      </c>
      <c r="Z31" s="161">
        <v>259193</v>
      </c>
      <c r="AA31" s="161">
        <f>23410-18</f>
        <v>23392</v>
      </c>
      <c r="AB31" s="161">
        <v>160</v>
      </c>
      <c r="AC31" s="157">
        <f t="shared" si="4"/>
        <v>1319620</v>
      </c>
      <c r="AD31" s="159">
        <v>1105159</v>
      </c>
      <c r="AE31" s="161">
        <v>275831</v>
      </c>
      <c r="AF31" s="161">
        <v>17367</v>
      </c>
      <c r="AG31" s="161">
        <v>135</v>
      </c>
      <c r="AH31" s="157">
        <f t="shared" si="5"/>
        <v>1398492</v>
      </c>
      <c r="AI31" s="159">
        <v>1089995</v>
      </c>
      <c r="AJ31" s="161">
        <v>258684</v>
      </c>
      <c r="AK31" s="161">
        <v>44576</v>
      </c>
      <c r="AL31" s="161">
        <v>22</v>
      </c>
      <c r="AM31" s="157">
        <f t="shared" si="14"/>
        <v>1393277</v>
      </c>
      <c r="AN31" s="159">
        <v>0</v>
      </c>
      <c r="AO31" s="161">
        <v>0</v>
      </c>
      <c r="AP31" s="161">
        <v>0</v>
      </c>
      <c r="AQ31" s="161">
        <v>0</v>
      </c>
      <c r="AR31" s="157">
        <f t="shared" si="1"/>
        <v>0</v>
      </c>
      <c r="AS31" s="159">
        <v>0</v>
      </c>
      <c r="AT31" s="161">
        <v>0</v>
      </c>
      <c r="AU31" s="161">
        <v>0</v>
      </c>
      <c r="AV31" s="161">
        <v>0</v>
      </c>
      <c r="AW31" s="157">
        <f t="shared" si="6"/>
        <v>0</v>
      </c>
      <c r="AX31" s="159">
        <v>0</v>
      </c>
      <c r="AY31" s="161">
        <v>0</v>
      </c>
      <c r="AZ31" s="161">
        <v>0</v>
      </c>
      <c r="BA31" s="161">
        <v>0</v>
      </c>
      <c r="BB31" s="157">
        <f t="shared" si="7"/>
        <v>0</v>
      </c>
      <c r="BC31" s="159">
        <v>0</v>
      </c>
      <c r="BD31" s="161">
        <v>0</v>
      </c>
      <c r="BE31" s="161">
        <v>0</v>
      </c>
      <c r="BF31" s="161">
        <v>0</v>
      </c>
      <c r="BG31" s="157">
        <f t="shared" si="8"/>
        <v>0</v>
      </c>
      <c r="BH31" s="159">
        <v>0</v>
      </c>
      <c r="BI31" s="161">
        <v>0</v>
      </c>
      <c r="BJ31" s="161">
        <v>0</v>
      </c>
      <c r="BK31" s="161">
        <v>0</v>
      </c>
      <c r="BL31" s="157">
        <f t="shared" si="9"/>
        <v>0</v>
      </c>
      <c r="BM31" s="159">
        <v>0</v>
      </c>
      <c r="BN31" s="161">
        <v>0</v>
      </c>
      <c r="BO31" s="161">
        <v>0</v>
      </c>
      <c r="BP31" s="161">
        <v>0</v>
      </c>
      <c r="BQ31" s="157">
        <f t="shared" si="10"/>
        <v>0</v>
      </c>
      <c r="BR31" s="159">
        <f t="shared" si="11"/>
        <v>5932747</v>
      </c>
      <c r="BS31" s="183">
        <f t="shared" si="11"/>
        <v>1565786</v>
      </c>
      <c r="BT31" s="161">
        <f t="shared" si="11"/>
        <v>261687</v>
      </c>
      <c r="BU31" s="161">
        <f t="shared" si="11"/>
        <v>611</v>
      </c>
      <c r="BV31" s="158">
        <f t="shared" si="12"/>
        <v>7760831</v>
      </c>
      <c r="BW31" s="129"/>
      <c r="BX31" s="681"/>
      <c r="BY31" s="328"/>
      <c r="BZ31" s="285"/>
      <c r="CA31" s="683"/>
      <c r="CB31" s="120"/>
    </row>
    <row r="32" spans="1:80" ht="13.5" x14ac:dyDescent="0.25">
      <c r="A32" s="303">
        <v>26</v>
      </c>
      <c r="B32" s="304" t="s">
        <v>247</v>
      </c>
      <c r="D32" s="305"/>
      <c r="E32" s="184">
        <f>405467-47552</f>
        <v>357915</v>
      </c>
      <c r="F32" s="183">
        <f>260880-90000</f>
        <v>170880</v>
      </c>
      <c r="G32" s="183">
        <f>16726+552</f>
        <v>17278</v>
      </c>
      <c r="H32" s="183">
        <v>0</v>
      </c>
      <c r="I32" s="157">
        <f t="shared" si="0"/>
        <v>546073</v>
      </c>
      <c r="J32" s="159">
        <v>11573</v>
      </c>
      <c r="K32" s="161">
        <v>1526</v>
      </c>
      <c r="L32" s="161">
        <v>39</v>
      </c>
      <c r="M32" s="161">
        <v>0</v>
      </c>
      <c r="N32" s="157">
        <f>SUM(J32:M32)</f>
        <v>13138</v>
      </c>
      <c r="O32" s="161">
        <v>11588</v>
      </c>
      <c r="P32" s="161">
        <v>1414</v>
      </c>
      <c r="Q32" s="161">
        <v>0</v>
      </c>
      <c r="R32" s="161">
        <v>0</v>
      </c>
      <c r="S32" s="157">
        <f t="shared" si="15"/>
        <v>13002</v>
      </c>
      <c r="T32" s="159">
        <v>14811</v>
      </c>
      <c r="U32" s="161">
        <v>3519</v>
      </c>
      <c r="V32" s="161">
        <v>87</v>
      </c>
      <c r="W32" s="161">
        <v>0</v>
      </c>
      <c r="X32" s="157">
        <f t="shared" si="3"/>
        <v>18417</v>
      </c>
      <c r="Y32" s="159">
        <v>16800</v>
      </c>
      <c r="Z32" s="161">
        <v>6209</v>
      </c>
      <c r="AA32" s="161">
        <v>137</v>
      </c>
      <c r="AB32" s="161"/>
      <c r="AC32" s="157">
        <f t="shared" si="4"/>
        <v>23146</v>
      </c>
      <c r="AD32" s="159">
        <v>14775</v>
      </c>
      <c r="AE32" s="161">
        <v>5257</v>
      </c>
      <c r="AF32" s="161">
        <v>527</v>
      </c>
      <c r="AG32" s="161">
        <v>0</v>
      </c>
      <c r="AH32" s="157">
        <f t="shared" si="5"/>
        <v>20559</v>
      </c>
      <c r="AI32" s="159">
        <v>25679</v>
      </c>
      <c r="AJ32" s="161">
        <v>8677</v>
      </c>
      <c r="AK32" s="161">
        <v>349</v>
      </c>
      <c r="AL32" s="161">
        <v>0</v>
      </c>
      <c r="AM32" s="157">
        <f t="shared" si="14"/>
        <v>34705</v>
      </c>
      <c r="AN32" s="159"/>
      <c r="AO32" s="161"/>
      <c r="AP32" s="161"/>
      <c r="AQ32" s="161"/>
      <c r="AR32" s="157"/>
      <c r="AS32" s="159"/>
      <c r="AT32" s="161"/>
      <c r="AU32" s="161"/>
      <c r="AV32" s="161"/>
      <c r="AW32" s="157"/>
      <c r="AX32" s="159"/>
      <c r="AY32" s="161"/>
      <c r="AZ32" s="161"/>
      <c r="BA32" s="161"/>
      <c r="BB32" s="157"/>
      <c r="BC32" s="159"/>
      <c r="BD32" s="161"/>
      <c r="BE32" s="161"/>
      <c r="BF32" s="161"/>
      <c r="BG32" s="157"/>
      <c r="BH32" s="159"/>
      <c r="BI32" s="161"/>
      <c r="BJ32" s="161"/>
      <c r="BK32" s="161"/>
      <c r="BL32" s="157"/>
      <c r="BM32" s="159"/>
      <c r="BN32" s="161"/>
      <c r="BO32" s="161"/>
      <c r="BP32" s="161"/>
      <c r="BQ32" s="157"/>
      <c r="BR32" s="159">
        <f t="shared" si="11"/>
        <v>95226</v>
      </c>
      <c r="BS32" s="183">
        <f t="shared" si="11"/>
        <v>26602</v>
      </c>
      <c r="BT32" s="161">
        <f t="shared" si="11"/>
        <v>1139</v>
      </c>
      <c r="BU32" s="161">
        <f t="shared" si="11"/>
        <v>0</v>
      </c>
      <c r="BV32" s="158">
        <f t="shared" si="12"/>
        <v>122967</v>
      </c>
      <c r="BW32" s="129"/>
      <c r="BX32" s="681"/>
      <c r="BY32" s="328"/>
      <c r="BZ32" s="285"/>
      <c r="CA32" s="683"/>
      <c r="CB32" s="120"/>
    </row>
    <row r="33" spans="1:80" ht="13.5" x14ac:dyDescent="0.25">
      <c r="A33" s="303">
        <v>27</v>
      </c>
      <c r="B33" s="281" t="s">
        <v>248</v>
      </c>
      <c r="D33" s="305"/>
      <c r="E33" s="184">
        <f>1148224-30000</f>
        <v>1118224</v>
      </c>
      <c r="F33" s="183">
        <v>1416</v>
      </c>
      <c r="G33" s="183">
        <v>110201</v>
      </c>
      <c r="H33" s="183">
        <v>0</v>
      </c>
      <c r="I33" s="157">
        <f t="shared" si="0"/>
        <v>1229841</v>
      </c>
      <c r="J33" s="159">
        <v>68062</v>
      </c>
      <c r="K33" s="161">
        <v>2</v>
      </c>
      <c r="L33" s="161">
        <v>1098</v>
      </c>
      <c r="M33" s="161">
        <v>0</v>
      </c>
      <c r="N33" s="157">
        <f t="shared" si="13"/>
        <v>69162</v>
      </c>
      <c r="O33" s="161">
        <v>66302</v>
      </c>
      <c r="P33" s="161">
        <v>86</v>
      </c>
      <c r="Q33" s="161">
        <v>4854</v>
      </c>
      <c r="R33" s="161">
        <v>0</v>
      </c>
      <c r="S33" s="157">
        <f t="shared" si="15"/>
        <v>71242</v>
      </c>
      <c r="T33" s="159">
        <f>72956-30</f>
        <v>72926</v>
      </c>
      <c r="U33" s="161">
        <v>34</v>
      </c>
      <c r="V33" s="161">
        <v>4497</v>
      </c>
      <c r="W33" s="161">
        <v>0</v>
      </c>
      <c r="X33" s="157">
        <f t="shared" si="3"/>
        <v>77457</v>
      </c>
      <c r="Y33" s="159">
        <v>74721</v>
      </c>
      <c r="Z33" s="161">
        <v>95</v>
      </c>
      <c r="AA33" s="161">
        <v>6365</v>
      </c>
      <c r="AB33" s="161">
        <v>0</v>
      </c>
      <c r="AC33" s="157">
        <f t="shared" si="4"/>
        <v>81181</v>
      </c>
      <c r="AD33" s="159">
        <v>74064</v>
      </c>
      <c r="AE33" s="161">
        <v>175</v>
      </c>
      <c r="AF33" s="161">
        <v>10873</v>
      </c>
      <c r="AG33" s="161">
        <v>0</v>
      </c>
      <c r="AH33" s="157">
        <f t="shared" si="5"/>
        <v>85112</v>
      </c>
      <c r="AI33" s="159">
        <v>73247</v>
      </c>
      <c r="AJ33" s="161">
        <v>57</v>
      </c>
      <c r="AK33" s="161">
        <v>3347</v>
      </c>
      <c r="AL33" s="161">
        <v>0</v>
      </c>
      <c r="AM33" s="157">
        <f t="shared" si="14"/>
        <v>76651</v>
      </c>
      <c r="AN33" s="159">
        <v>0</v>
      </c>
      <c r="AO33" s="161">
        <v>0</v>
      </c>
      <c r="AP33" s="161">
        <v>0</v>
      </c>
      <c r="AQ33" s="161">
        <v>0</v>
      </c>
      <c r="AR33" s="157">
        <f t="shared" si="1"/>
        <v>0</v>
      </c>
      <c r="AS33" s="159">
        <v>0</v>
      </c>
      <c r="AT33" s="161">
        <v>0</v>
      </c>
      <c r="AU33" s="161">
        <v>0</v>
      </c>
      <c r="AV33" s="161">
        <v>0</v>
      </c>
      <c r="AW33" s="157">
        <f t="shared" si="6"/>
        <v>0</v>
      </c>
      <c r="AX33" s="159">
        <v>0</v>
      </c>
      <c r="AY33" s="161">
        <v>0</v>
      </c>
      <c r="AZ33" s="161">
        <v>0</v>
      </c>
      <c r="BA33" s="161">
        <v>0</v>
      </c>
      <c r="BB33" s="157">
        <f t="shared" si="7"/>
        <v>0</v>
      </c>
      <c r="BC33" s="159">
        <v>0</v>
      </c>
      <c r="BD33" s="161">
        <v>0</v>
      </c>
      <c r="BE33" s="161">
        <v>0</v>
      </c>
      <c r="BF33" s="161">
        <v>0</v>
      </c>
      <c r="BG33" s="157">
        <f t="shared" si="8"/>
        <v>0</v>
      </c>
      <c r="BH33" s="159">
        <v>0</v>
      </c>
      <c r="BI33" s="161">
        <v>0</v>
      </c>
      <c r="BJ33" s="161">
        <v>0</v>
      </c>
      <c r="BK33" s="161">
        <v>0</v>
      </c>
      <c r="BL33" s="157">
        <f t="shared" si="9"/>
        <v>0</v>
      </c>
      <c r="BM33" s="159">
        <v>0</v>
      </c>
      <c r="BN33" s="161">
        <v>0</v>
      </c>
      <c r="BO33" s="161">
        <v>0</v>
      </c>
      <c r="BP33" s="161">
        <v>0</v>
      </c>
      <c r="BQ33" s="157">
        <f t="shared" si="10"/>
        <v>0</v>
      </c>
      <c r="BR33" s="159">
        <f t="shared" si="11"/>
        <v>429322</v>
      </c>
      <c r="BS33" s="183">
        <f t="shared" si="11"/>
        <v>449</v>
      </c>
      <c r="BT33" s="161">
        <f t="shared" si="11"/>
        <v>31034</v>
      </c>
      <c r="BU33" s="161">
        <f t="shared" si="11"/>
        <v>0</v>
      </c>
      <c r="BV33" s="158">
        <f t="shared" si="12"/>
        <v>460805</v>
      </c>
      <c r="BW33" s="129"/>
      <c r="BX33" s="681"/>
      <c r="BY33" s="328"/>
      <c r="BZ33" s="285"/>
      <c r="CA33" s="683"/>
      <c r="CB33" s="120"/>
    </row>
    <row r="34" spans="1:80" ht="13.5" x14ac:dyDescent="0.25">
      <c r="A34" s="303">
        <v>28</v>
      </c>
      <c r="B34" s="304" t="s">
        <v>249</v>
      </c>
      <c r="D34" s="305"/>
      <c r="E34" s="184">
        <f>96876077+4456500</f>
        <v>101332577</v>
      </c>
      <c r="F34" s="183">
        <v>1497689</v>
      </c>
      <c r="G34" s="183">
        <f>3337267-756500</f>
        <v>2580767</v>
      </c>
      <c r="H34" s="183">
        <v>0</v>
      </c>
      <c r="I34" s="157">
        <f t="shared" si="0"/>
        <v>105411033</v>
      </c>
      <c r="J34" s="159">
        <v>8006135</v>
      </c>
      <c r="K34" s="161">
        <v>105447</v>
      </c>
      <c r="L34" s="161">
        <v>68895</v>
      </c>
      <c r="M34" s="161">
        <v>4803</v>
      </c>
      <c r="N34" s="157">
        <f t="shared" si="13"/>
        <v>8185280</v>
      </c>
      <c r="O34" s="161">
        <v>7807331</v>
      </c>
      <c r="P34" s="161">
        <v>276535</v>
      </c>
      <c r="Q34" s="161">
        <v>32605</v>
      </c>
      <c r="R34" s="161">
        <v>3575</v>
      </c>
      <c r="S34" s="157">
        <f>SUM(O34:R34)</f>
        <v>8120046</v>
      </c>
      <c r="T34" s="159">
        <f>7575306+17295</f>
        <v>7592601</v>
      </c>
      <c r="U34" s="161">
        <f>162289-131616</f>
        <v>30673</v>
      </c>
      <c r="V34" s="161">
        <f>41991-17296</f>
        <v>24695</v>
      </c>
      <c r="W34" s="161">
        <v>530</v>
      </c>
      <c r="X34" s="157">
        <f t="shared" si="3"/>
        <v>7648499</v>
      </c>
      <c r="Y34" s="159">
        <v>7395413</v>
      </c>
      <c r="Z34" s="161">
        <f>121982+3</f>
        <v>121985</v>
      </c>
      <c r="AA34" s="161">
        <v>42118</v>
      </c>
      <c r="AB34" s="161">
        <v>170</v>
      </c>
      <c r="AC34" s="157">
        <f t="shared" si="4"/>
        <v>7559686</v>
      </c>
      <c r="AD34" s="159">
        <v>6881194</v>
      </c>
      <c r="AE34" s="161">
        <v>115713</v>
      </c>
      <c r="AF34" s="161">
        <f>139711+2329</f>
        <v>142040</v>
      </c>
      <c r="AG34" s="161">
        <v>1686</v>
      </c>
      <c r="AH34" s="157">
        <f t="shared" si="5"/>
        <v>7140633</v>
      </c>
      <c r="AI34" s="159">
        <v>7310264</v>
      </c>
      <c r="AJ34" s="161">
        <v>128067</v>
      </c>
      <c r="AK34" s="161">
        <f>296550-2775</f>
        <v>293775</v>
      </c>
      <c r="AL34" s="161">
        <v>2698</v>
      </c>
      <c r="AM34" s="157">
        <f t="shared" si="14"/>
        <v>7734804</v>
      </c>
      <c r="AN34" s="159">
        <v>0</v>
      </c>
      <c r="AO34" s="161">
        <v>0</v>
      </c>
      <c r="AP34" s="161">
        <v>0</v>
      </c>
      <c r="AQ34" s="161">
        <v>0</v>
      </c>
      <c r="AR34" s="157">
        <f t="shared" si="1"/>
        <v>0</v>
      </c>
      <c r="AS34" s="159">
        <v>0</v>
      </c>
      <c r="AT34" s="161">
        <v>0</v>
      </c>
      <c r="AU34" s="161">
        <v>0</v>
      </c>
      <c r="AV34" s="161">
        <v>0</v>
      </c>
      <c r="AW34" s="157">
        <f t="shared" si="6"/>
        <v>0</v>
      </c>
      <c r="AX34" s="159">
        <v>0</v>
      </c>
      <c r="AY34" s="161">
        <v>0</v>
      </c>
      <c r="AZ34" s="161">
        <v>0</v>
      </c>
      <c r="BA34" s="161">
        <v>0</v>
      </c>
      <c r="BB34" s="157">
        <f t="shared" si="7"/>
        <v>0</v>
      </c>
      <c r="BC34" s="159">
        <v>0</v>
      </c>
      <c r="BD34" s="161">
        <v>0</v>
      </c>
      <c r="BE34" s="161">
        <v>0</v>
      </c>
      <c r="BF34" s="161">
        <v>0</v>
      </c>
      <c r="BG34" s="157">
        <f t="shared" si="8"/>
        <v>0</v>
      </c>
      <c r="BH34" s="159">
        <v>0</v>
      </c>
      <c r="BI34" s="161">
        <v>0</v>
      </c>
      <c r="BJ34" s="161">
        <v>0</v>
      </c>
      <c r="BK34" s="161">
        <v>0</v>
      </c>
      <c r="BL34" s="157">
        <f t="shared" si="9"/>
        <v>0</v>
      </c>
      <c r="BM34" s="159">
        <v>0</v>
      </c>
      <c r="BN34" s="161">
        <v>0</v>
      </c>
      <c r="BO34" s="161">
        <v>0</v>
      </c>
      <c r="BP34" s="161">
        <v>0</v>
      </c>
      <c r="BQ34" s="157">
        <f t="shared" si="10"/>
        <v>0</v>
      </c>
      <c r="BR34" s="159">
        <f t="shared" si="11"/>
        <v>44992938</v>
      </c>
      <c r="BS34" s="183">
        <f t="shared" si="11"/>
        <v>778420</v>
      </c>
      <c r="BT34" s="161">
        <f t="shared" si="11"/>
        <v>604128</v>
      </c>
      <c r="BU34" s="161">
        <f t="shared" si="11"/>
        <v>13462</v>
      </c>
      <c r="BV34" s="158">
        <f t="shared" si="12"/>
        <v>46388948</v>
      </c>
      <c r="BW34" s="129"/>
      <c r="BX34" s="681"/>
      <c r="BY34" s="328"/>
      <c r="BZ34" s="285"/>
      <c r="CA34" s="683"/>
      <c r="CB34" s="120"/>
    </row>
    <row r="35" spans="1:80" ht="13.5" x14ac:dyDescent="0.25">
      <c r="A35" s="303">
        <v>29</v>
      </c>
      <c r="B35" s="304" t="s">
        <v>250</v>
      </c>
      <c r="D35" s="305"/>
      <c r="E35" s="184">
        <f>8033569-300000-299892</f>
        <v>7433677</v>
      </c>
      <c r="F35" s="183">
        <f>8411043-1793852</f>
        <v>6617191</v>
      </c>
      <c r="G35" s="183">
        <v>365444</v>
      </c>
      <c r="H35" s="183">
        <v>0</v>
      </c>
      <c r="I35" s="157">
        <f t="shared" si="0"/>
        <v>14416312</v>
      </c>
      <c r="J35" s="159">
        <v>337160</v>
      </c>
      <c r="K35" s="161">
        <v>323418</v>
      </c>
      <c r="L35" s="161">
        <v>1444</v>
      </c>
      <c r="M35" s="161">
        <v>0</v>
      </c>
      <c r="N35" s="157">
        <f t="shared" si="13"/>
        <v>662022</v>
      </c>
      <c r="O35" s="161">
        <v>410703</v>
      </c>
      <c r="P35" s="161">
        <v>151301</v>
      </c>
      <c r="Q35" s="161">
        <v>9596</v>
      </c>
      <c r="R35" s="161">
        <v>0</v>
      </c>
      <c r="S35" s="157">
        <f>SUM(O35:R35)</f>
        <v>571600</v>
      </c>
      <c r="T35" s="159">
        <v>487250</v>
      </c>
      <c r="U35" s="161">
        <v>503816</v>
      </c>
      <c r="V35" s="161">
        <v>33663</v>
      </c>
      <c r="W35" s="161">
        <v>0</v>
      </c>
      <c r="X35" s="159">
        <f t="shared" si="3"/>
        <v>1024729</v>
      </c>
      <c r="Y35" s="159">
        <v>389973</v>
      </c>
      <c r="Z35" s="161">
        <v>369974</v>
      </c>
      <c r="AA35" s="161">
        <v>33214</v>
      </c>
      <c r="AB35" s="161">
        <v>0</v>
      </c>
      <c r="AC35" s="157">
        <f t="shared" si="4"/>
        <v>793161</v>
      </c>
      <c r="AD35" s="159">
        <v>550167</v>
      </c>
      <c r="AE35" s="161">
        <v>575937</v>
      </c>
      <c r="AF35" s="161">
        <v>44273</v>
      </c>
      <c r="AG35" s="161">
        <v>0</v>
      </c>
      <c r="AH35" s="157">
        <f t="shared" si="5"/>
        <v>1170377</v>
      </c>
      <c r="AI35" s="159">
        <v>470760</v>
      </c>
      <c r="AJ35" s="161">
        <v>1123085</v>
      </c>
      <c r="AK35" s="161">
        <v>36736</v>
      </c>
      <c r="AL35" s="161">
        <v>46</v>
      </c>
      <c r="AM35" s="157">
        <f t="shared" si="14"/>
        <v>1630627</v>
      </c>
      <c r="AN35" s="159">
        <v>0</v>
      </c>
      <c r="AO35" s="161">
        <v>0</v>
      </c>
      <c r="AP35" s="161">
        <v>0</v>
      </c>
      <c r="AQ35" s="161">
        <v>0</v>
      </c>
      <c r="AR35" s="157">
        <f t="shared" si="1"/>
        <v>0</v>
      </c>
      <c r="AS35" s="159">
        <v>0</v>
      </c>
      <c r="AT35" s="161">
        <v>0</v>
      </c>
      <c r="AU35" s="161">
        <v>0</v>
      </c>
      <c r="AV35" s="161">
        <v>0</v>
      </c>
      <c r="AW35" s="157">
        <f t="shared" si="6"/>
        <v>0</v>
      </c>
      <c r="AX35" s="159">
        <v>0</v>
      </c>
      <c r="AY35" s="161">
        <v>0</v>
      </c>
      <c r="AZ35" s="161">
        <v>0</v>
      </c>
      <c r="BA35" s="161">
        <v>0</v>
      </c>
      <c r="BB35" s="157">
        <f t="shared" si="7"/>
        <v>0</v>
      </c>
      <c r="BC35" s="159">
        <v>0</v>
      </c>
      <c r="BD35" s="161">
        <v>0</v>
      </c>
      <c r="BE35" s="161">
        <v>0</v>
      </c>
      <c r="BF35" s="161">
        <v>0</v>
      </c>
      <c r="BG35" s="157">
        <f t="shared" si="8"/>
        <v>0</v>
      </c>
      <c r="BH35" s="159">
        <v>0</v>
      </c>
      <c r="BI35" s="161">
        <v>0</v>
      </c>
      <c r="BJ35" s="161">
        <v>0</v>
      </c>
      <c r="BK35" s="161">
        <v>0</v>
      </c>
      <c r="BL35" s="157">
        <f t="shared" si="9"/>
        <v>0</v>
      </c>
      <c r="BM35" s="159">
        <v>0</v>
      </c>
      <c r="BN35" s="161">
        <v>0</v>
      </c>
      <c r="BO35" s="161">
        <v>0</v>
      </c>
      <c r="BP35" s="161">
        <v>0</v>
      </c>
      <c r="BQ35" s="157">
        <f t="shared" si="10"/>
        <v>0</v>
      </c>
      <c r="BR35" s="159">
        <f t="shared" si="11"/>
        <v>2646013</v>
      </c>
      <c r="BS35" s="183">
        <f t="shared" si="11"/>
        <v>3047531</v>
      </c>
      <c r="BT35" s="161">
        <f t="shared" si="11"/>
        <v>158926</v>
      </c>
      <c r="BU35" s="161">
        <f t="shared" si="11"/>
        <v>46</v>
      </c>
      <c r="BV35" s="158">
        <f t="shared" si="12"/>
        <v>5852516</v>
      </c>
      <c r="BW35" s="129"/>
      <c r="BX35" s="681"/>
      <c r="BY35" s="328"/>
      <c r="BZ35" s="285"/>
      <c r="CA35" s="683"/>
      <c r="CB35" s="120"/>
    </row>
    <row r="36" spans="1:80" ht="13.5" x14ac:dyDescent="0.25">
      <c r="A36" s="303">
        <v>30</v>
      </c>
      <c r="B36" s="304" t="s">
        <v>251</v>
      </c>
      <c r="D36" s="305"/>
      <c r="E36" s="184">
        <f>779984-33131</f>
        <v>746853</v>
      </c>
      <c r="F36" s="183">
        <f>2582803-78300</f>
        <v>2504503</v>
      </c>
      <c r="G36" s="183">
        <v>31750</v>
      </c>
      <c r="H36" s="183">
        <v>0</v>
      </c>
      <c r="I36" s="157">
        <f t="shared" si="0"/>
        <v>3283106</v>
      </c>
      <c r="J36" s="159">
        <v>25268</v>
      </c>
      <c r="K36" s="161">
        <v>0</v>
      </c>
      <c r="L36" s="161">
        <v>0</v>
      </c>
      <c r="M36" s="161">
        <v>27</v>
      </c>
      <c r="N36" s="157">
        <f t="shared" si="13"/>
        <v>25295</v>
      </c>
      <c r="O36" s="161">
        <v>24248</v>
      </c>
      <c r="P36" s="161">
        <v>594685</v>
      </c>
      <c r="Q36" s="161">
        <v>0</v>
      </c>
      <c r="R36" s="161">
        <v>0</v>
      </c>
      <c r="S36" s="157">
        <f>SUM(O36:R36)</f>
        <v>618933</v>
      </c>
      <c r="T36" s="159">
        <v>31221</v>
      </c>
      <c r="U36" s="161">
        <v>118</v>
      </c>
      <c r="V36" s="161">
        <v>5293</v>
      </c>
      <c r="W36" s="161">
        <v>0</v>
      </c>
      <c r="X36" s="157">
        <f t="shared" si="3"/>
        <v>36632</v>
      </c>
      <c r="Y36" s="159">
        <v>31653</v>
      </c>
      <c r="Z36" s="161">
        <v>115</v>
      </c>
      <c r="AA36" s="161">
        <v>251</v>
      </c>
      <c r="AB36" s="161">
        <v>0</v>
      </c>
      <c r="AC36" s="157">
        <f t="shared" si="4"/>
        <v>32019</v>
      </c>
      <c r="AD36" s="159">
        <v>57688</v>
      </c>
      <c r="AE36" s="161">
        <v>403769</v>
      </c>
      <c r="AF36" s="161">
        <v>2330</v>
      </c>
      <c r="AG36" s="161">
        <v>0</v>
      </c>
      <c r="AH36" s="157">
        <f t="shared" si="5"/>
        <v>463787</v>
      </c>
      <c r="AI36" s="159">
        <v>7912</v>
      </c>
      <c r="AJ36" s="161">
        <v>131435</v>
      </c>
      <c r="AK36" s="161">
        <v>426</v>
      </c>
      <c r="AL36" s="161">
        <v>0</v>
      </c>
      <c r="AM36" s="157">
        <f t="shared" si="14"/>
        <v>139773</v>
      </c>
      <c r="AN36" s="159">
        <v>0</v>
      </c>
      <c r="AO36" s="161">
        <v>0</v>
      </c>
      <c r="AP36" s="161">
        <v>0</v>
      </c>
      <c r="AQ36" s="161">
        <v>0</v>
      </c>
      <c r="AR36" s="157">
        <f t="shared" si="1"/>
        <v>0</v>
      </c>
      <c r="AS36" s="159">
        <v>0</v>
      </c>
      <c r="AT36" s="161">
        <v>0</v>
      </c>
      <c r="AU36" s="161">
        <v>0</v>
      </c>
      <c r="AV36" s="161">
        <v>0</v>
      </c>
      <c r="AW36" s="157">
        <f t="shared" si="6"/>
        <v>0</v>
      </c>
      <c r="AX36" s="159">
        <v>0</v>
      </c>
      <c r="AY36" s="161">
        <v>0</v>
      </c>
      <c r="AZ36" s="161">
        <v>0</v>
      </c>
      <c r="BA36" s="161">
        <v>0</v>
      </c>
      <c r="BB36" s="157">
        <f t="shared" si="7"/>
        <v>0</v>
      </c>
      <c r="BC36" s="159">
        <v>0</v>
      </c>
      <c r="BD36" s="161">
        <v>0</v>
      </c>
      <c r="BE36" s="161">
        <v>0</v>
      </c>
      <c r="BF36" s="161">
        <v>0</v>
      </c>
      <c r="BG36" s="157">
        <f t="shared" si="8"/>
        <v>0</v>
      </c>
      <c r="BH36" s="159">
        <v>0</v>
      </c>
      <c r="BI36" s="161">
        <v>0</v>
      </c>
      <c r="BJ36" s="161">
        <v>0</v>
      </c>
      <c r="BK36" s="161">
        <v>0</v>
      </c>
      <c r="BL36" s="157">
        <f t="shared" si="9"/>
        <v>0</v>
      </c>
      <c r="BM36" s="159">
        <v>0</v>
      </c>
      <c r="BN36" s="161">
        <v>0</v>
      </c>
      <c r="BO36" s="161">
        <v>0</v>
      </c>
      <c r="BP36" s="161">
        <v>0</v>
      </c>
      <c r="BQ36" s="157">
        <f t="shared" si="10"/>
        <v>0</v>
      </c>
      <c r="BR36" s="159">
        <f t="shared" si="11"/>
        <v>177990</v>
      </c>
      <c r="BS36" s="183">
        <f t="shared" si="11"/>
        <v>1130122</v>
      </c>
      <c r="BT36" s="161">
        <f t="shared" si="11"/>
        <v>8300</v>
      </c>
      <c r="BU36" s="161">
        <f t="shared" si="11"/>
        <v>27</v>
      </c>
      <c r="BV36" s="158">
        <f t="shared" si="12"/>
        <v>1316439</v>
      </c>
      <c r="BW36" s="129"/>
      <c r="BX36" s="681"/>
      <c r="BY36" s="328"/>
      <c r="BZ36" s="285"/>
      <c r="CA36" s="683"/>
      <c r="CB36" s="120"/>
    </row>
    <row r="37" spans="1:80" ht="13.5" x14ac:dyDescent="0.25">
      <c r="A37" s="303">
        <v>31</v>
      </c>
      <c r="B37" s="304" t="s">
        <v>252</v>
      </c>
      <c r="D37" s="305"/>
      <c r="E37" s="184">
        <f>2177557-96639-95428</f>
        <v>1985490</v>
      </c>
      <c r="F37" s="183">
        <f>1391364-63511</f>
        <v>1327853</v>
      </c>
      <c r="G37" s="183">
        <f>68828-6342</f>
        <v>62486</v>
      </c>
      <c r="H37" s="183">
        <v>0</v>
      </c>
      <c r="I37" s="157">
        <f t="shared" si="0"/>
        <v>3375829</v>
      </c>
      <c r="J37" s="159">
        <v>115225</v>
      </c>
      <c r="K37" s="161">
        <v>306678</v>
      </c>
      <c r="L37" s="161">
        <v>352</v>
      </c>
      <c r="M37" s="161">
        <v>0</v>
      </c>
      <c r="N37" s="157">
        <f t="shared" si="13"/>
        <v>422255</v>
      </c>
      <c r="O37" s="161">
        <v>149897</v>
      </c>
      <c r="P37" s="161">
        <v>35228</v>
      </c>
      <c r="Q37" s="161">
        <v>0</v>
      </c>
      <c r="R37" s="161">
        <v>0</v>
      </c>
      <c r="S37" s="157">
        <f>SUM(O37:R37)</f>
        <v>185125</v>
      </c>
      <c r="T37" s="159">
        <v>130913</v>
      </c>
      <c r="U37" s="161">
        <v>8001</v>
      </c>
      <c r="V37" s="161">
        <v>30</v>
      </c>
      <c r="W37" s="161">
        <v>20</v>
      </c>
      <c r="X37" s="157">
        <f t="shared" si="3"/>
        <v>138964</v>
      </c>
      <c r="Y37" s="159">
        <v>142056</v>
      </c>
      <c r="Z37" s="161">
        <v>35071</v>
      </c>
      <c r="AA37" s="161">
        <v>956</v>
      </c>
      <c r="AB37" s="161">
        <v>0</v>
      </c>
      <c r="AC37" s="157">
        <f t="shared" si="4"/>
        <v>178083</v>
      </c>
      <c r="AD37" s="159">
        <v>158174</v>
      </c>
      <c r="AE37" s="161">
        <v>268748</v>
      </c>
      <c r="AF37" s="161">
        <v>881</v>
      </c>
      <c r="AG37" s="161">
        <v>0</v>
      </c>
      <c r="AH37" s="157">
        <f t="shared" si="5"/>
        <v>427803</v>
      </c>
      <c r="AI37" s="159">
        <v>138936</v>
      </c>
      <c r="AJ37" s="161">
        <v>1105</v>
      </c>
      <c r="AK37" s="161">
        <v>3115</v>
      </c>
      <c r="AL37" s="161">
        <v>4</v>
      </c>
      <c r="AM37" s="157">
        <f t="shared" si="14"/>
        <v>143160</v>
      </c>
      <c r="AN37" s="159">
        <v>0</v>
      </c>
      <c r="AO37" s="161">
        <v>0</v>
      </c>
      <c r="AP37" s="161">
        <v>0</v>
      </c>
      <c r="AQ37" s="161">
        <v>0</v>
      </c>
      <c r="AR37" s="157">
        <f t="shared" si="1"/>
        <v>0</v>
      </c>
      <c r="AS37" s="159">
        <v>0</v>
      </c>
      <c r="AT37" s="161">
        <v>0</v>
      </c>
      <c r="AU37" s="161">
        <v>0</v>
      </c>
      <c r="AV37" s="161">
        <v>0</v>
      </c>
      <c r="AW37" s="157">
        <f t="shared" si="6"/>
        <v>0</v>
      </c>
      <c r="AX37" s="159">
        <v>0</v>
      </c>
      <c r="AY37" s="161">
        <v>0</v>
      </c>
      <c r="AZ37" s="161">
        <v>0</v>
      </c>
      <c r="BA37" s="161">
        <v>0</v>
      </c>
      <c r="BB37" s="157">
        <f t="shared" si="7"/>
        <v>0</v>
      </c>
      <c r="BC37" s="159">
        <v>0</v>
      </c>
      <c r="BD37" s="161">
        <v>0</v>
      </c>
      <c r="BE37" s="161">
        <v>0</v>
      </c>
      <c r="BF37" s="161">
        <v>0</v>
      </c>
      <c r="BG37" s="157">
        <f t="shared" si="8"/>
        <v>0</v>
      </c>
      <c r="BH37" s="159">
        <v>0</v>
      </c>
      <c r="BI37" s="161">
        <v>0</v>
      </c>
      <c r="BJ37" s="161">
        <v>0</v>
      </c>
      <c r="BK37" s="161">
        <v>0</v>
      </c>
      <c r="BL37" s="157">
        <f t="shared" si="9"/>
        <v>0</v>
      </c>
      <c r="BM37" s="159">
        <v>0</v>
      </c>
      <c r="BN37" s="161">
        <v>0</v>
      </c>
      <c r="BO37" s="161">
        <v>0</v>
      </c>
      <c r="BP37" s="161">
        <v>0</v>
      </c>
      <c r="BQ37" s="157">
        <f t="shared" si="10"/>
        <v>0</v>
      </c>
      <c r="BR37" s="159">
        <f t="shared" si="11"/>
        <v>835201</v>
      </c>
      <c r="BS37" s="183">
        <f t="shared" si="11"/>
        <v>654831</v>
      </c>
      <c r="BT37" s="161">
        <f t="shared" si="11"/>
        <v>5334</v>
      </c>
      <c r="BU37" s="161">
        <f t="shared" si="11"/>
        <v>24</v>
      </c>
      <c r="BV37" s="158">
        <f t="shared" si="12"/>
        <v>1495390</v>
      </c>
      <c r="BW37" s="129"/>
      <c r="BX37" s="681"/>
      <c r="BY37" s="328"/>
      <c r="BZ37" s="285"/>
      <c r="CA37" s="683"/>
      <c r="CB37" s="120"/>
    </row>
    <row r="38" spans="1:80" ht="13.5" x14ac:dyDescent="0.25">
      <c r="A38" s="303">
        <v>32</v>
      </c>
      <c r="B38" s="86" t="s">
        <v>253</v>
      </c>
      <c r="D38" s="305"/>
      <c r="E38" s="184">
        <f>6969112-1469588</f>
        <v>5499524</v>
      </c>
      <c r="F38" s="183">
        <f>1749542+714692</f>
        <v>2464234</v>
      </c>
      <c r="G38" s="183">
        <f>236015-11274</f>
        <v>224741</v>
      </c>
      <c r="H38" s="183">
        <v>0</v>
      </c>
      <c r="I38" s="157">
        <f t="shared" si="0"/>
        <v>8188499</v>
      </c>
      <c r="J38" s="159">
        <v>225803</v>
      </c>
      <c r="K38" s="161">
        <v>153434</v>
      </c>
      <c r="L38" s="161">
        <v>152</v>
      </c>
      <c r="M38" s="161">
        <v>0</v>
      </c>
      <c r="N38" s="157">
        <f t="shared" si="13"/>
        <v>379389</v>
      </c>
      <c r="O38" s="161">
        <v>473175</v>
      </c>
      <c r="P38" s="161">
        <v>109375</v>
      </c>
      <c r="Q38" s="161">
        <v>13208</v>
      </c>
      <c r="R38" s="161">
        <v>0</v>
      </c>
      <c r="S38" s="157">
        <f>SUM(O38:R38)</f>
        <v>595758</v>
      </c>
      <c r="T38" s="159">
        <v>370810</v>
      </c>
      <c r="U38" s="161">
        <v>58648</v>
      </c>
      <c r="V38" s="161">
        <v>30231</v>
      </c>
      <c r="W38" s="161">
        <v>0</v>
      </c>
      <c r="X38" s="157">
        <f t="shared" si="3"/>
        <v>459689</v>
      </c>
      <c r="Y38" s="159">
        <v>319735</v>
      </c>
      <c r="Z38" s="161">
        <v>357030</v>
      </c>
      <c r="AA38" s="161">
        <v>17702</v>
      </c>
      <c r="AB38" s="161">
        <v>0</v>
      </c>
      <c r="AC38" s="157">
        <f t="shared" si="4"/>
        <v>694467</v>
      </c>
      <c r="AD38" s="159">
        <v>519780</v>
      </c>
      <c r="AE38" s="161">
        <v>190750</v>
      </c>
      <c r="AF38" s="161">
        <v>19753</v>
      </c>
      <c r="AG38" s="161">
        <v>0</v>
      </c>
      <c r="AH38" s="157">
        <f>SUM(AD38:AG38)</f>
        <v>730283</v>
      </c>
      <c r="AI38" s="159">
        <v>302904</v>
      </c>
      <c r="AJ38" s="161">
        <v>213423</v>
      </c>
      <c r="AK38" s="161">
        <v>29019</v>
      </c>
      <c r="AL38" s="161">
        <v>0</v>
      </c>
      <c r="AM38" s="157">
        <f t="shared" si="14"/>
        <v>545346</v>
      </c>
      <c r="AN38" s="159">
        <v>0</v>
      </c>
      <c r="AO38" s="161">
        <v>0</v>
      </c>
      <c r="AP38" s="161">
        <v>0</v>
      </c>
      <c r="AQ38" s="161">
        <v>0</v>
      </c>
      <c r="AR38" s="157">
        <f t="shared" si="1"/>
        <v>0</v>
      </c>
      <c r="AS38" s="159">
        <v>0</v>
      </c>
      <c r="AT38" s="161">
        <v>0</v>
      </c>
      <c r="AU38" s="161">
        <v>0</v>
      </c>
      <c r="AV38" s="161">
        <v>0</v>
      </c>
      <c r="AW38" s="157">
        <f t="shared" si="6"/>
        <v>0</v>
      </c>
      <c r="AX38" s="159">
        <v>0</v>
      </c>
      <c r="AY38" s="161">
        <v>0</v>
      </c>
      <c r="AZ38" s="161">
        <v>0</v>
      </c>
      <c r="BA38" s="161">
        <v>0</v>
      </c>
      <c r="BB38" s="157">
        <f t="shared" si="7"/>
        <v>0</v>
      </c>
      <c r="BC38" s="159">
        <v>0</v>
      </c>
      <c r="BD38" s="161">
        <v>0</v>
      </c>
      <c r="BE38" s="161">
        <v>0</v>
      </c>
      <c r="BF38" s="161">
        <v>0</v>
      </c>
      <c r="BG38" s="157">
        <f t="shared" si="8"/>
        <v>0</v>
      </c>
      <c r="BH38" s="159">
        <v>0</v>
      </c>
      <c r="BI38" s="161">
        <v>0</v>
      </c>
      <c r="BJ38" s="161">
        <v>0</v>
      </c>
      <c r="BK38" s="161">
        <v>0</v>
      </c>
      <c r="BL38" s="157">
        <f t="shared" si="9"/>
        <v>0</v>
      </c>
      <c r="BM38" s="159">
        <v>0</v>
      </c>
      <c r="BN38" s="161">
        <v>0</v>
      </c>
      <c r="BO38" s="161">
        <v>0</v>
      </c>
      <c r="BP38" s="161">
        <v>0</v>
      </c>
      <c r="BQ38" s="157">
        <f t="shared" si="10"/>
        <v>0</v>
      </c>
      <c r="BR38" s="159">
        <f t="shared" si="11"/>
        <v>2212207</v>
      </c>
      <c r="BS38" s="183">
        <f t="shared" si="11"/>
        <v>1082660</v>
      </c>
      <c r="BT38" s="161">
        <f t="shared" si="11"/>
        <v>110065</v>
      </c>
      <c r="BU38" s="161">
        <f t="shared" si="11"/>
        <v>0</v>
      </c>
      <c r="BV38" s="158">
        <f t="shared" si="12"/>
        <v>3404932</v>
      </c>
      <c r="BW38" s="129"/>
      <c r="BX38" s="681"/>
      <c r="BY38" s="328"/>
      <c r="BZ38" s="285"/>
      <c r="CA38" s="683"/>
      <c r="CB38" s="120"/>
    </row>
    <row r="39" spans="1:80" ht="13.5" x14ac:dyDescent="0.25">
      <c r="A39" s="309">
        <v>33</v>
      </c>
      <c r="B39" s="314" t="s">
        <v>254</v>
      </c>
      <c r="D39" s="315"/>
      <c r="E39" s="184">
        <f>947706-28500</f>
        <v>919206</v>
      </c>
      <c r="F39" s="183">
        <f>30373603-2232439</f>
        <v>28141164</v>
      </c>
      <c r="G39" s="183">
        <v>3607</v>
      </c>
      <c r="H39" s="183">
        <v>0</v>
      </c>
      <c r="I39" s="157">
        <f t="shared" si="0"/>
        <v>29063977</v>
      </c>
      <c r="J39" s="159">
        <v>32666</v>
      </c>
      <c r="K39" s="161">
        <v>992442</v>
      </c>
      <c r="L39" s="161">
        <v>0</v>
      </c>
      <c r="M39" s="161">
        <v>0</v>
      </c>
      <c r="N39" s="157">
        <f t="shared" si="13"/>
        <v>1025108</v>
      </c>
      <c r="O39" s="161">
        <v>33435</v>
      </c>
      <c r="P39" s="161">
        <v>1618754</v>
      </c>
      <c r="Q39" s="161">
        <v>86</v>
      </c>
      <c r="R39" s="161">
        <v>0</v>
      </c>
      <c r="S39" s="157">
        <f t="shared" ref="S39:S47" si="16">SUM(O39:R39)</f>
        <v>1652275</v>
      </c>
      <c r="T39" s="159">
        <v>46418</v>
      </c>
      <c r="U39" s="161">
        <v>1572036</v>
      </c>
      <c r="V39" s="161">
        <v>620</v>
      </c>
      <c r="W39" s="161">
        <v>0</v>
      </c>
      <c r="X39" s="157">
        <f t="shared" si="3"/>
        <v>1619074</v>
      </c>
      <c r="Y39" s="159">
        <v>45234</v>
      </c>
      <c r="Z39" s="161">
        <v>2833992</v>
      </c>
      <c r="AA39" s="161">
        <v>146</v>
      </c>
      <c r="AB39" s="161">
        <v>0</v>
      </c>
      <c r="AC39" s="157">
        <f t="shared" si="4"/>
        <v>2879372</v>
      </c>
      <c r="AD39" s="159">
        <v>38469</v>
      </c>
      <c r="AE39" s="161">
        <v>1722425</v>
      </c>
      <c r="AF39" s="161">
        <v>323</v>
      </c>
      <c r="AG39" s="161">
        <v>3</v>
      </c>
      <c r="AH39" s="157">
        <f t="shared" si="5"/>
        <v>1761220</v>
      </c>
      <c r="AI39" s="159">
        <v>47681</v>
      </c>
      <c r="AJ39" s="161">
        <v>1203873</v>
      </c>
      <c r="AK39" s="161">
        <v>796</v>
      </c>
      <c r="AL39" s="161">
        <v>0</v>
      </c>
      <c r="AM39" s="157">
        <f t="shared" si="14"/>
        <v>1252350</v>
      </c>
      <c r="AN39" s="159">
        <v>0</v>
      </c>
      <c r="AO39" s="161">
        <v>0</v>
      </c>
      <c r="AP39" s="161">
        <v>0</v>
      </c>
      <c r="AQ39" s="161">
        <v>0</v>
      </c>
      <c r="AR39" s="157">
        <f t="shared" si="1"/>
        <v>0</v>
      </c>
      <c r="AS39" s="159">
        <v>0</v>
      </c>
      <c r="AT39" s="161">
        <v>0</v>
      </c>
      <c r="AU39" s="161">
        <v>0</v>
      </c>
      <c r="AV39" s="161">
        <v>0</v>
      </c>
      <c r="AW39" s="157">
        <f t="shared" si="6"/>
        <v>0</v>
      </c>
      <c r="AX39" s="159">
        <v>0</v>
      </c>
      <c r="AY39" s="161">
        <v>0</v>
      </c>
      <c r="AZ39" s="161">
        <v>0</v>
      </c>
      <c r="BA39" s="161">
        <v>0</v>
      </c>
      <c r="BB39" s="157">
        <f t="shared" si="7"/>
        <v>0</v>
      </c>
      <c r="BC39" s="159">
        <v>0</v>
      </c>
      <c r="BD39" s="161">
        <v>0</v>
      </c>
      <c r="BE39" s="161">
        <v>0</v>
      </c>
      <c r="BF39" s="161">
        <v>0</v>
      </c>
      <c r="BG39" s="157">
        <f t="shared" si="8"/>
        <v>0</v>
      </c>
      <c r="BH39" s="159">
        <v>0</v>
      </c>
      <c r="BI39" s="161">
        <v>0</v>
      </c>
      <c r="BJ39" s="161">
        <v>0</v>
      </c>
      <c r="BK39" s="161">
        <v>0</v>
      </c>
      <c r="BL39" s="157">
        <f t="shared" si="9"/>
        <v>0</v>
      </c>
      <c r="BM39" s="159">
        <v>0</v>
      </c>
      <c r="BN39" s="161">
        <v>0</v>
      </c>
      <c r="BO39" s="161">
        <v>0</v>
      </c>
      <c r="BP39" s="161">
        <v>0</v>
      </c>
      <c r="BQ39" s="157">
        <f t="shared" si="10"/>
        <v>0</v>
      </c>
      <c r="BR39" s="159">
        <f t="shared" si="11"/>
        <v>243903</v>
      </c>
      <c r="BS39" s="183">
        <f t="shared" si="11"/>
        <v>9943522</v>
      </c>
      <c r="BT39" s="161">
        <f t="shared" si="11"/>
        <v>1971</v>
      </c>
      <c r="BU39" s="161">
        <f t="shared" si="11"/>
        <v>3</v>
      </c>
      <c r="BV39" s="158">
        <f t="shared" si="12"/>
        <v>10189399</v>
      </c>
      <c r="BW39" s="129"/>
      <c r="BX39" s="681"/>
      <c r="BY39" s="328"/>
      <c r="BZ39" s="285"/>
      <c r="CA39" s="683"/>
      <c r="CB39" s="120"/>
    </row>
    <row r="40" spans="1:80" ht="13.5" x14ac:dyDescent="0.25">
      <c r="A40" s="303">
        <v>34</v>
      </c>
      <c r="B40" s="304" t="s">
        <v>255</v>
      </c>
      <c r="D40" s="305"/>
      <c r="E40" s="184">
        <f>1683999-41709</f>
        <v>1642290</v>
      </c>
      <c r="F40" s="183">
        <f>7634620-1532318</f>
        <v>6102302</v>
      </c>
      <c r="G40" s="183">
        <v>18409</v>
      </c>
      <c r="H40" s="183">
        <v>0</v>
      </c>
      <c r="I40" s="157">
        <f t="shared" si="0"/>
        <v>7763001</v>
      </c>
      <c r="J40" s="159">
        <v>95974</v>
      </c>
      <c r="K40" s="161">
        <v>644148</v>
      </c>
      <c r="L40" s="161">
        <v>89</v>
      </c>
      <c r="M40" s="161">
        <v>0</v>
      </c>
      <c r="N40" s="157">
        <f t="shared" si="13"/>
        <v>740211</v>
      </c>
      <c r="O40" s="161">
        <v>110775</v>
      </c>
      <c r="P40" s="161">
        <v>97342</v>
      </c>
      <c r="Q40" s="161">
        <v>400</v>
      </c>
      <c r="R40" s="161">
        <v>0</v>
      </c>
      <c r="S40" s="157">
        <f t="shared" si="16"/>
        <v>208517</v>
      </c>
      <c r="T40" s="159">
        <v>101866</v>
      </c>
      <c r="U40" s="161">
        <v>745555</v>
      </c>
      <c r="V40" s="161">
        <v>369</v>
      </c>
      <c r="W40" s="161">
        <v>0</v>
      </c>
      <c r="X40" s="157">
        <f t="shared" si="3"/>
        <v>847790</v>
      </c>
      <c r="Y40" s="159">
        <v>108315</v>
      </c>
      <c r="Z40" s="161">
        <v>259529</v>
      </c>
      <c r="AA40" s="161">
        <v>375</v>
      </c>
      <c r="AB40" s="161">
        <v>0</v>
      </c>
      <c r="AC40" s="157">
        <f t="shared" si="4"/>
        <v>368219</v>
      </c>
      <c r="AD40" s="159">
        <v>105876</v>
      </c>
      <c r="AE40" s="161">
        <v>1229322</v>
      </c>
      <c r="AF40" s="161">
        <v>2330</v>
      </c>
      <c r="AG40" s="161">
        <v>0</v>
      </c>
      <c r="AH40" s="157">
        <f t="shared" si="5"/>
        <v>1337528</v>
      </c>
      <c r="AI40" s="159">
        <v>96302</v>
      </c>
      <c r="AJ40" s="161">
        <v>205214</v>
      </c>
      <c r="AK40" s="161">
        <v>46</v>
      </c>
      <c r="AL40" s="161">
        <v>0</v>
      </c>
      <c r="AM40" s="157">
        <f t="shared" si="14"/>
        <v>301562</v>
      </c>
      <c r="AN40" s="159">
        <v>0</v>
      </c>
      <c r="AO40" s="161">
        <v>0</v>
      </c>
      <c r="AP40" s="161">
        <v>0</v>
      </c>
      <c r="AQ40" s="161">
        <v>0</v>
      </c>
      <c r="AR40" s="157">
        <f t="shared" si="1"/>
        <v>0</v>
      </c>
      <c r="AS40" s="159">
        <v>0</v>
      </c>
      <c r="AT40" s="161">
        <v>0</v>
      </c>
      <c r="AU40" s="161">
        <v>0</v>
      </c>
      <c r="AV40" s="161">
        <v>0</v>
      </c>
      <c r="AW40" s="157">
        <f t="shared" si="6"/>
        <v>0</v>
      </c>
      <c r="AX40" s="159">
        <v>0</v>
      </c>
      <c r="AY40" s="161">
        <v>0</v>
      </c>
      <c r="AZ40" s="161">
        <v>0</v>
      </c>
      <c r="BA40" s="161">
        <v>0</v>
      </c>
      <c r="BB40" s="157">
        <f t="shared" si="7"/>
        <v>0</v>
      </c>
      <c r="BC40" s="159">
        <v>0</v>
      </c>
      <c r="BD40" s="161">
        <v>0</v>
      </c>
      <c r="BE40" s="161">
        <v>0</v>
      </c>
      <c r="BF40" s="161">
        <v>0</v>
      </c>
      <c r="BG40" s="157">
        <f t="shared" si="8"/>
        <v>0</v>
      </c>
      <c r="BH40" s="159">
        <v>0</v>
      </c>
      <c r="BI40" s="161">
        <v>0</v>
      </c>
      <c r="BJ40" s="161">
        <v>0</v>
      </c>
      <c r="BK40" s="161">
        <v>0</v>
      </c>
      <c r="BL40" s="157">
        <f t="shared" si="9"/>
        <v>0</v>
      </c>
      <c r="BM40" s="159">
        <v>0</v>
      </c>
      <c r="BN40" s="161">
        <v>0</v>
      </c>
      <c r="BO40" s="161">
        <v>0</v>
      </c>
      <c r="BP40" s="161">
        <v>0</v>
      </c>
      <c r="BQ40" s="157">
        <f t="shared" si="10"/>
        <v>0</v>
      </c>
      <c r="BR40" s="159">
        <f t="shared" si="11"/>
        <v>619108</v>
      </c>
      <c r="BS40" s="183">
        <f t="shared" si="11"/>
        <v>3181110</v>
      </c>
      <c r="BT40" s="161">
        <f t="shared" si="11"/>
        <v>3609</v>
      </c>
      <c r="BU40" s="161">
        <f t="shared" si="11"/>
        <v>0</v>
      </c>
      <c r="BV40" s="158">
        <f t="shared" si="12"/>
        <v>3803827</v>
      </c>
      <c r="BW40" s="129"/>
      <c r="BX40" s="681"/>
      <c r="BY40" s="328"/>
      <c r="BZ40" s="285"/>
      <c r="CA40" s="683"/>
      <c r="CB40" s="120"/>
    </row>
    <row r="41" spans="1:80" ht="13.5" x14ac:dyDescent="0.25">
      <c r="A41" s="303">
        <v>35</v>
      </c>
      <c r="B41" s="304" t="s">
        <v>256</v>
      </c>
      <c r="D41" s="305"/>
      <c r="E41" s="184">
        <f>632471-40000-53442</f>
        <v>539029</v>
      </c>
      <c r="F41" s="183">
        <f>8162158-1342058</f>
        <v>6820100</v>
      </c>
      <c r="G41" s="183">
        <v>2764</v>
      </c>
      <c r="H41" s="183">
        <v>0</v>
      </c>
      <c r="I41" s="157">
        <f t="shared" si="0"/>
        <v>7361893</v>
      </c>
      <c r="J41" s="159">
        <v>28642</v>
      </c>
      <c r="K41" s="161">
        <v>907089</v>
      </c>
      <c r="L41" s="161">
        <v>149</v>
      </c>
      <c r="M41" s="161">
        <v>0</v>
      </c>
      <c r="N41" s="157">
        <f t="shared" si="13"/>
        <v>935880</v>
      </c>
      <c r="O41" s="161">
        <v>26527</v>
      </c>
      <c r="P41" s="161">
        <v>49000</v>
      </c>
      <c r="Q41" s="161">
        <v>0</v>
      </c>
      <c r="R41" s="161">
        <v>0</v>
      </c>
      <c r="S41" s="157">
        <f t="shared" si="16"/>
        <v>75527</v>
      </c>
      <c r="T41" s="159">
        <v>34234</v>
      </c>
      <c r="U41" s="161">
        <v>19668</v>
      </c>
      <c r="V41" s="161">
        <v>567</v>
      </c>
      <c r="W41" s="161">
        <v>0</v>
      </c>
      <c r="X41" s="157">
        <f t="shared" si="3"/>
        <v>54469</v>
      </c>
      <c r="Y41" s="159">
        <v>31585</v>
      </c>
      <c r="Z41" s="161">
        <v>989667</v>
      </c>
      <c r="AA41" s="161">
        <v>200</v>
      </c>
      <c r="AB41" s="161">
        <v>0</v>
      </c>
      <c r="AC41" s="157">
        <f t="shared" si="4"/>
        <v>1021452</v>
      </c>
      <c r="AD41" s="159">
        <v>38095</v>
      </c>
      <c r="AE41" s="161">
        <v>1283657</v>
      </c>
      <c r="AF41" s="161">
        <v>301</v>
      </c>
      <c r="AG41" s="161">
        <v>0</v>
      </c>
      <c r="AH41" s="157">
        <f t="shared" si="5"/>
        <v>1322053</v>
      </c>
      <c r="AI41" s="159">
        <v>36997</v>
      </c>
      <c r="AJ41" s="161">
        <v>265718</v>
      </c>
      <c r="AK41" s="161">
        <v>-156</v>
      </c>
      <c r="AL41" s="161">
        <v>68</v>
      </c>
      <c r="AM41" s="157">
        <f t="shared" si="14"/>
        <v>302627</v>
      </c>
      <c r="AN41" s="159">
        <v>0</v>
      </c>
      <c r="AO41" s="161">
        <v>0</v>
      </c>
      <c r="AP41" s="161">
        <v>0</v>
      </c>
      <c r="AQ41" s="161">
        <v>0</v>
      </c>
      <c r="AR41" s="157">
        <f t="shared" si="1"/>
        <v>0</v>
      </c>
      <c r="AS41" s="159">
        <v>0</v>
      </c>
      <c r="AT41" s="161">
        <v>0</v>
      </c>
      <c r="AU41" s="161">
        <v>0</v>
      </c>
      <c r="AV41" s="161">
        <v>0</v>
      </c>
      <c r="AW41" s="157">
        <f t="shared" si="6"/>
        <v>0</v>
      </c>
      <c r="AX41" s="159">
        <v>0</v>
      </c>
      <c r="AY41" s="161">
        <v>0</v>
      </c>
      <c r="AZ41" s="161">
        <v>0</v>
      </c>
      <c r="BA41" s="161">
        <v>0</v>
      </c>
      <c r="BB41" s="157">
        <f t="shared" si="7"/>
        <v>0</v>
      </c>
      <c r="BC41" s="159">
        <v>0</v>
      </c>
      <c r="BD41" s="161">
        <v>0</v>
      </c>
      <c r="BE41" s="161">
        <v>0</v>
      </c>
      <c r="BF41" s="161">
        <v>0</v>
      </c>
      <c r="BG41" s="157">
        <f t="shared" si="8"/>
        <v>0</v>
      </c>
      <c r="BH41" s="159">
        <v>0</v>
      </c>
      <c r="BI41" s="161">
        <v>0</v>
      </c>
      <c r="BJ41" s="161">
        <v>0</v>
      </c>
      <c r="BK41" s="161">
        <v>0</v>
      </c>
      <c r="BL41" s="157">
        <f t="shared" si="9"/>
        <v>0</v>
      </c>
      <c r="BM41" s="159">
        <v>0</v>
      </c>
      <c r="BN41" s="161">
        <v>0</v>
      </c>
      <c r="BO41" s="161">
        <v>0</v>
      </c>
      <c r="BP41" s="161">
        <v>0</v>
      </c>
      <c r="BQ41" s="157">
        <f t="shared" si="10"/>
        <v>0</v>
      </c>
      <c r="BR41" s="159">
        <f t="shared" si="11"/>
        <v>196080</v>
      </c>
      <c r="BS41" s="183">
        <f t="shared" si="11"/>
        <v>3514799</v>
      </c>
      <c r="BT41" s="161">
        <f t="shared" si="11"/>
        <v>1061</v>
      </c>
      <c r="BU41" s="161">
        <f t="shared" si="11"/>
        <v>68</v>
      </c>
      <c r="BV41" s="158">
        <f t="shared" si="12"/>
        <v>3712008</v>
      </c>
      <c r="BW41" s="129"/>
      <c r="BX41" s="681"/>
      <c r="BY41" s="328"/>
      <c r="BZ41" s="285"/>
      <c r="CA41" s="683"/>
      <c r="CB41" s="120"/>
    </row>
    <row r="42" spans="1:80" ht="13.5" x14ac:dyDescent="0.25">
      <c r="A42" s="303">
        <v>36</v>
      </c>
      <c r="B42" s="281" t="s">
        <v>257</v>
      </c>
      <c r="D42" s="305"/>
      <c r="E42" s="184">
        <f>251412-28000</f>
        <v>223412</v>
      </c>
      <c r="F42" s="183">
        <f>2151096-39000</f>
        <v>2112096</v>
      </c>
      <c r="G42" s="183">
        <v>4275</v>
      </c>
      <c r="H42" s="183">
        <v>0</v>
      </c>
      <c r="I42" s="157">
        <f t="shared" si="0"/>
        <v>2339783</v>
      </c>
      <c r="J42" s="159">
        <v>13296</v>
      </c>
      <c r="K42" s="161">
        <v>94236</v>
      </c>
      <c r="L42" s="161">
        <v>331</v>
      </c>
      <c r="M42" s="161">
        <v>0</v>
      </c>
      <c r="N42" s="157">
        <f t="shared" si="13"/>
        <v>107863</v>
      </c>
      <c r="O42" s="161">
        <v>15549</v>
      </c>
      <c r="P42" s="161">
        <v>502419</v>
      </c>
      <c r="Q42" s="161">
        <v>184</v>
      </c>
      <c r="R42" s="161">
        <v>0</v>
      </c>
      <c r="S42" s="157">
        <f t="shared" si="16"/>
        <v>518152</v>
      </c>
      <c r="T42" s="159">
        <v>12426</v>
      </c>
      <c r="U42" s="161">
        <v>89876</v>
      </c>
      <c r="V42" s="161">
        <v>429</v>
      </c>
      <c r="W42" s="161">
        <v>0</v>
      </c>
      <c r="X42" s="157">
        <f t="shared" si="3"/>
        <v>102731</v>
      </c>
      <c r="Y42" s="159">
        <v>11928</v>
      </c>
      <c r="Z42" s="161">
        <v>244226</v>
      </c>
      <c r="AA42" s="161">
        <v>418</v>
      </c>
      <c r="AB42" s="161">
        <v>0</v>
      </c>
      <c r="AC42" s="157">
        <f t="shared" si="4"/>
        <v>256572</v>
      </c>
      <c r="AD42" s="159">
        <v>12624</v>
      </c>
      <c r="AE42" s="161">
        <v>548919</v>
      </c>
      <c r="AF42" s="161">
        <v>34</v>
      </c>
      <c r="AG42" s="161">
        <v>0</v>
      </c>
      <c r="AH42" s="157">
        <f>SUM(AD42:AG42)</f>
        <v>561577</v>
      </c>
      <c r="AI42" s="159">
        <v>21376</v>
      </c>
      <c r="AJ42" s="161">
        <v>183356</v>
      </c>
      <c r="AK42" s="161">
        <v>172</v>
      </c>
      <c r="AL42" s="161">
        <v>0</v>
      </c>
      <c r="AM42" s="157">
        <f t="shared" si="14"/>
        <v>204904</v>
      </c>
      <c r="AN42" s="159">
        <v>0</v>
      </c>
      <c r="AO42" s="161">
        <v>0</v>
      </c>
      <c r="AP42" s="161">
        <v>0</v>
      </c>
      <c r="AQ42" s="161">
        <v>0</v>
      </c>
      <c r="AR42" s="157">
        <f t="shared" si="1"/>
        <v>0</v>
      </c>
      <c r="AS42" s="159">
        <v>0</v>
      </c>
      <c r="AT42" s="161">
        <v>0</v>
      </c>
      <c r="AU42" s="161">
        <v>0</v>
      </c>
      <c r="AV42" s="161">
        <v>0</v>
      </c>
      <c r="AW42" s="157">
        <f t="shared" si="6"/>
        <v>0</v>
      </c>
      <c r="AX42" s="159">
        <v>0</v>
      </c>
      <c r="AY42" s="161">
        <v>0</v>
      </c>
      <c r="AZ42" s="161">
        <v>0</v>
      </c>
      <c r="BA42" s="161">
        <v>0</v>
      </c>
      <c r="BB42" s="157">
        <f t="shared" si="7"/>
        <v>0</v>
      </c>
      <c r="BC42" s="159">
        <v>0</v>
      </c>
      <c r="BD42" s="161">
        <v>0</v>
      </c>
      <c r="BE42" s="161">
        <v>0</v>
      </c>
      <c r="BF42" s="161">
        <v>0</v>
      </c>
      <c r="BG42" s="157">
        <f t="shared" si="8"/>
        <v>0</v>
      </c>
      <c r="BH42" s="159">
        <v>0</v>
      </c>
      <c r="BI42" s="161">
        <v>0</v>
      </c>
      <c r="BJ42" s="161">
        <v>0</v>
      </c>
      <c r="BK42" s="161">
        <v>0</v>
      </c>
      <c r="BL42" s="157">
        <f t="shared" si="9"/>
        <v>0</v>
      </c>
      <c r="BM42" s="159">
        <v>0</v>
      </c>
      <c r="BN42" s="161">
        <v>0</v>
      </c>
      <c r="BO42" s="161">
        <v>0</v>
      </c>
      <c r="BP42" s="161">
        <v>0</v>
      </c>
      <c r="BQ42" s="157">
        <f t="shared" si="10"/>
        <v>0</v>
      </c>
      <c r="BR42" s="159">
        <f t="shared" si="11"/>
        <v>87199</v>
      </c>
      <c r="BS42" s="183">
        <f t="shared" si="11"/>
        <v>1663032</v>
      </c>
      <c r="BT42" s="161">
        <f t="shared" si="11"/>
        <v>1568</v>
      </c>
      <c r="BU42" s="161">
        <f t="shared" si="11"/>
        <v>0</v>
      </c>
      <c r="BV42" s="158">
        <f t="shared" si="12"/>
        <v>1751799</v>
      </c>
      <c r="BW42" s="129"/>
      <c r="BX42" s="681"/>
      <c r="BY42" s="328"/>
      <c r="BZ42" s="285"/>
      <c r="CA42" s="683"/>
      <c r="CB42" s="120"/>
    </row>
    <row r="43" spans="1:80" ht="13.5" x14ac:dyDescent="0.25">
      <c r="A43" s="303">
        <v>37</v>
      </c>
      <c r="B43" s="281" t="s">
        <v>258</v>
      </c>
      <c r="D43" s="313"/>
      <c r="E43" s="184">
        <f>1018694-10000-128855</f>
        <v>879839</v>
      </c>
      <c r="F43" s="183">
        <f>4492149-758744</f>
        <v>3733405</v>
      </c>
      <c r="G43" s="183">
        <f>209321-67703</f>
        <v>141618</v>
      </c>
      <c r="H43" s="183">
        <v>0</v>
      </c>
      <c r="I43" s="157">
        <f>SUM(E43:H43)</f>
        <v>4754862</v>
      </c>
      <c r="J43" s="159">
        <v>34632</v>
      </c>
      <c r="K43" s="161">
        <v>668650</v>
      </c>
      <c r="L43" s="161">
        <v>0</v>
      </c>
      <c r="M43" s="161">
        <v>0</v>
      </c>
      <c r="N43" s="157">
        <f t="shared" si="13"/>
        <v>703282</v>
      </c>
      <c r="O43" s="161">
        <v>54736</v>
      </c>
      <c r="P43" s="161">
        <v>160450</v>
      </c>
      <c r="Q43" s="161">
        <v>0</v>
      </c>
      <c r="R43" s="161">
        <v>7</v>
      </c>
      <c r="S43" s="157">
        <f t="shared" si="16"/>
        <v>215193</v>
      </c>
      <c r="T43" s="159">
        <v>93941</v>
      </c>
      <c r="U43" s="161">
        <v>51604</v>
      </c>
      <c r="V43" s="161">
        <v>491</v>
      </c>
      <c r="W43" s="161">
        <v>0</v>
      </c>
      <c r="X43" s="157">
        <f t="shared" si="3"/>
        <v>146036</v>
      </c>
      <c r="Y43" s="159">
        <v>44933</v>
      </c>
      <c r="Z43" s="161">
        <v>825902</v>
      </c>
      <c r="AA43" s="161">
        <v>1653</v>
      </c>
      <c r="AB43" s="161">
        <v>0</v>
      </c>
      <c r="AC43" s="157">
        <f t="shared" si="4"/>
        <v>872488</v>
      </c>
      <c r="AD43" s="159">
        <v>89369</v>
      </c>
      <c r="AE43" s="161">
        <v>40846</v>
      </c>
      <c r="AF43" s="161">
        <v>-47</v>
      </c>
      <c r="AG43" s="161">
        <v>7</v>
      </c>
      <c r="AH43" s="157">
        <f t="shared" si="5"/>
        <v>130175</v>
      </c>
      <c r="AI43" s="159">
        <v>41967</v>
      </c>
      <c r="AJ43" s="161">
        <v>206222</v>
      </c>
      <c r="AK43" s="161">
        <v>5632</v>
      </c>
      <c r="AL43" s="161">
        <v>0</v>
      </c>
      <c r="AM43" s="157">
        <f t="shared" si="14"/>
        <v>253821</v>
      </c>
      <c r="AN43" s="159">
        <v>0</v>
      </c>
      <c r="AO43" s="161">
        <v>0</v>
      </c>
      <c r="AP43" s="161">
        <v>0</v>
      </c>
      <c r="AQ43" s="161">
        <v>0</v>
      </c>
      <c r="AR43" s="157">
        <f t="shared" si="1"/>
        <v>0</v>
      </c>
      <c r="AS43" s="159">
        <v>0</v>
      </c>
      <c r="AT43" s="161">
        <v>0</v>
      </c>
      <c r="AU43" s="161">
        <v>0</v>
      </c>
      <c r="AV43" s="161">
        <v>0</v>
      </c>
      <c r="AW43" s="157">
        <f t="shared" si="6"/>
        <v>0</v>
      </c>
      <c r="AX43" s="159">
        <v>0</v>
      </c>
      <c r="AY43" s="161">
        <v>0</v>
      </c>
      <c r="AZ43" s="161">
        <v>0</v>
      </c>
      <c r="BA43" s="161">
        <v>0</v>
      </c>
      <c r="BB43" s="157">
        <f t="shared" si="7"/>
        <v>0</v>
      </c>
      <c r="BC43" s="159">
        <v>0</v>
      </c>
      <c r="BD43" s="161">
        <v>0</v>
      </c>
      <c r="BE43" s="161">
        <v>0</v>
      </c>
      <c r="BF43" s="161">
        <v>0</v>
      </c>
      <c r="BG43" s="157">
        <f t="shared" si="8"/>
        <v>0</v>
      </c>
      <c r="BH43" s="159">
        <v>0</v>
      </c>
      <c r="BI43" s="161">
        <v>0</v>
      </c>
      <c r="BJ43" s="161">
        <v>0</v>
      </c>
      <c r="BK43" s="161">
        <v>0</v>
      </c>
      <c r="BL43" s="157">
        <f t="shared" si="9"/>
        <v>0</v>
      </c>
      <c r="BM43" s="159">
        <v>0</v>
      </c>
      <c r="BN43" s="161">
        <v>0</v>
      </c>
      <c r="BO43" s="161">
        <v>0</v>
      </c>
      <c r="BP43" s="161">
        <v>0</v>
      </c>
      <c r="BQ43" s="157">
        <f t="shared" si="10"/>
        <v>0</v>
      </c>
      <c r="BR43" s="159">
        <f t="shared" si="11"/>
        <v>359578</v>
      </c>
      <c r="BS43" s="183">
        <f t="shared" si="11"/>
        <v>1953674</v>
      </c>
      <c r="BT43" s="161">
        <f t="shared" si="11"/>
        <v>7729</v>
      </c>
      <c r="BU43" s="161">
        <f t="shared" si="11"/>
        <v>14</v>
      </c>
      <c r="BV43" s="158">
        <f t="shared" si="12"/>
        <v>2320995</v>
      </c>
      <c r="BW43" s="129"/>
      <c r="BX43" s="681"/>
      <c r="BY43" s="328"/>
      <c r="BZ43" s="285"/>
      <c r="CA43" s="683"/>
      <c r="CB43" s="120"/>
    </row>
    <row r="44" spans="1:80" ht="13.5" x14ac:dyDescent="0.25">
      <c r="A44" s="303">
        <v>38</v>
      </c>
      <c r="B44" s="304" t="s">
        <v>259</v>
      </c>
      <c r="D44" s="305"/>
      <c r="E44" s="184">
        <f>998670-27475</f>
        <v>971195</v>
      </c>
      <c r="F44" s="183">
        <f>1478534-972525</f>
        <v>506009</v>
      </c>
      <c r="G44" s="183">
        <v>3780</v>
      </c>
      <c r="H44" s="183">
        <v>0</v>
      </c>
      <c r="I44" s="157">
        <f t="shared" si="0"/>
        <v>1480984</v>
      </c>
      <c r="J44" s="159">
        <v>46005</v>
      </c>
      <c r="K44" s="161">
        <v>11</v>
      </c>
      <c r="L44" s="161">
        <v>1072</v>
      </c>
      <c r="M44" s="161">
        <v>0</v>
      </c>
      <c r="N44" s="157">
        <f t="shared" si="13"/>
        <v>47088</v>
      </c>
      <c r="O44" s="161">
        <v>59713</v>
      </c>
      <c r="P44" s="161">
        <v>143631</v>
      </c>
      <c r="Q44" s="161">
        <v>436</v>
      </c>
      <c r="R44" s="161">
        <v>0</v>
      </c>
      <c r="S44" s="157">
        <f t="shared" si="16"/>
        <v>203780</v>
      </c>
      <c r="T44" s="159">
        <v>44346</v>
      </c>
      <c r="U44" s="161">
        <v>33191</v>
      </c>
      <c r="V44" s="161">
        <v>1249</v>
      </c>
      <c r="W44" s="161">
        <v>0</v>
      </c>
      <c r="X44" s="157">
        <f t="shared" si="3"/>
        <v>78786</v>
      </c>
      <c r="Y44" s="159">
        <v>39142</v>
      </c>
      <c r="Z44" s="161">
        <v>98744</v>
      </c>
      <c r="AA44" s="161">
        <v>1629</v>
      </c>
      <c r="AB44" s="161">
        <v>0</v>
      </c>
      <c r="AC44" s="157">
        <f t="shared" si="4"/>
        <v>139515</v>
      </c>
      <c r="AD44" s="159">
        <v>36557</v>
      </c>
      <c r="AE44" s="161">
        <v>141</v>
      </c>
      <c r="AF44" s="161">
        <v>783</v>
      </c>
      <c r="AG44" s="161">
        <v>0</v>
      </c>
      <c r="AH44" s="157">
        <f t="shared" si="5"/>
        <v>37481</v>
      </c>
      <c r="AI44" s="159">
        <v>43258</v>
      </c>
      <c r="AJ44" s="161">
        <v>11</v>
      </c>
      <c r="AK44" s="161">
        <v>117</v>
      </c>
      <c r="AL44" s="161">
        <v>0</v>
      </c>
      <c r="AM44" s="157">
        <f t="shared" si="14"/>
        <v>43386</v>
      </c>
      <c r="AN44" s="159">
        <v>0</v>
      </c>
      <c r="AO44" s="161">
        <v>0</v>
      </c>
      <c r="AP44" s="161">
        <v>0</v>
      </c>
      <c r="AQ44" s="161">
        <v>0</v>
      </c>
      <c r="AR44" s="157">
        <f t="shared" si="1"/>
        <v>0</v>
      </c>
      <c r="AS44" s="159">
        <v>0</v>
      </c>
      <c r="AT44" s="161">
        <v>0</v>
      </c>
      <c r="AU44" s="161">
        <v>0</v>
      </c>
      <c r="AV44" s="161">
        <v>0</v>
      </c>
      <c r="AW44" s="157">
        <f t="shared" si="6"/>
        <v>0</v>
      </c>
      <c r="AX44" s="159">
        <v>0</v>
      </c>
      <c r="AY44" s="161">
        <v>0</v>
      </c>
      <c r="AZ44" s="161">
        <v>0</v>
      </c>
      <c r="BA44" s="161">
        <v>0</v>
      </c>
      <c r="BB44" s="157">
        <f t="shared" si="7"/>
        <v>0</v>
      </c>
      <c r="BC44" s="159">
        <v>0</v>
      </c>
      <c r="BD44" s="161">
        <v>0</v>
      </c>
      <c r="BE44" s="161">
        <v>0</v>
      </c>
      <c r="BF44" s="161">
        <v>0</v>
      </c>
      <c r="BG44" s="157">
        <f t="shared" si="8"/>
        <v>0</v>
      </c>
      <c r="BH44" s="159">
        <v>0</v>
      </c>
      <c r="BI44" s="161">
        <v>0</v>
      </c>
      <c r="BJ44" s="161">
        <v>0</v>
      </c>
      <c r="BK44" s="161">
        <v>0</v>
      </c>
      <c r="BL44" s="157">
        <f t="shared" si="9"/>
        <v>0</v>
      </c>
      <c r="BM44" s="159">
        <v>0</v>
      </c>
      <c r="BN44" s="161">
        <v>0</v>
      </c>
      <c r="BO44" s="161">
        <v>0</v>
      </c>
      <c r="BP44" s="161">
        <v>0</v>
      </c>
      <c r="BQ44" s="157">
        <f t="shared" si="10"/>
        <v>0</v>
      </c>
      <c r="BR44" s="159">
        <f t="shared" si="11"/>
        <v>269021</v>
      </c>
      <c r="BS44" s="183">
        <f t="shared" si="11"/>
        <v>275729</v>
      </c>
      <c r="BT44" s="161">
        <f t="shared" si="11"/>
        <v>5286</v>
      </c>
      <c r="BU44" s="161">
        <f t="shared" si="11"/>
        <v>0</v>
      </c>
      <c r="BV44" s="158">
        <f t="shared" si="12"/>
        <v>550036</v>
      </c>
      <c r="BW44" s="129"/>
      <c r="BX44" s="681"/>
      <c r="BY44" s="328"/>
      <c r="BZ44" s="285"/>
      <c r="CA44" s="683"/>
      <c r="CB44" s="120"/>
    </row>
    <row r="45" spans="1:80" ht="13.5" x14ac:dyDescent="0.25">
      <c r="A45" s="303">
        <v>39</v>
      </c>
      <c r="B45" s="304" t="s">
        <v>260</v>
      </c>
      <c r="D45" s="305"/>
      <c r="E45" s="184">
        <f>1976647-51353</f>
        <v>1925294</v>
      </c>
      <c r="F45" s="183">
        <f>9071370-1720075</f>
        <v>7351295</v>
      </c>
      <c r="G45" s="183">
        <v>34121</v>
      </c>
      <c r="H45" s="183">
        <v>0</v>
      </c>
      <c r="I45" s="157">
        <f t="shared" si="0"/>
        <v>9310710</v>
      </c>
      <c r="J45" s="159">
        <v>127284</v>
      </c>
      <c r="K45" s="161">
        <v>1011184</v>
      </c>
      <c r="L45" s="161">
        <v>0</v>
      </c>
      <c r="M45" s="161">
        <v>0</v>
      </c>
      <c r="N45" s="157">
        <f>SUM(J45:M45)</f>
        <v>1138468</v>
      </c>
      <c r="O45" s="161">
        <v>86935</v>
      </c>
      <c r="P45" s="161">
        <v>734162</v>
      </c>
      <c r="Q45" s="161">
        <v>0</v>
      </c>
      <c r="R45" s="161">
        <v>0</v>
      </c>
      <c r="S45" s="157">
        <f>SUM(O45:R45)</f>
        <v>821097</v>
      </c>
      <c r="T45" s="159">
        <v>114405</v>
      </c>
      <c r="U45" s="161">
        <v>571137</v>
      </c>
      <c r="V45" s="161">
        <v>5701</v>
      </c>
      <c r="W45" s="161">
        <v>0</v>
      </c>
      <c r="X45" s="157">
        <f t="shared" si="3"/>
        <v>691243</v>
      </c>
      <c r="Y45" s="159">
        <v>139251</v>
      </c>
      <c r="Z45" s="161">
        <v>286148</v>
      </c>
      <c r="AA45" s="161">
        <v>311</v>
      </c>
      <c r="AB45" s="161">
        <v>0</v>
      </c>
      <c r="AC45" s="157">
        <f t="shared" si="4"/>
        <v>425710</v>
      </c>
      <c r="AD45" s="159">
        <v>149611</v>
      </c>
      <c r="AE45" s="161">
        <v>203952</v>
      </c>
      <c r="AF45" s="161">
        <v>4921</v>
      </c>
      <c r="AG45" s="161">
        <v>0</v>
      </c>
      <c r="AH45" s="157">
        <f>SUM(AD45:AG45)</f>
        <v>358484</v>
      </c>
      <c r="AI45" s="159">
        <v>129839</v>
      </c>
      <c r="AJ45" s="161">
        <v>448715</v>
      </c>
      <c r="AK45" s="161">
        <v>280</v>
      </c>
      <c r="AL45" s="161">
        <v>0</v>
      </c>
      <c r="AM45" s="157">
        <f t="shared" si="14"/>
        <v>578834</v>
      </c>
      <c r="AN45" s="159">
        <v>0</v>
      </c>
      <c r="AO45" s="161">
        <v>0</v>
      </c>
      <c r="AP45" s="161">
        <v>0</v>
      </c>
      <c r="AQ45" s="161">
        <v>0</v>
      </c>
      <c r="AR45" s="157">
        <f t="shared" si="1"/>
        <v>0</v>
      </c>
      <c r="AS45" s="159">
        <v>0</v>
      </c>
      <c r="AT45" s="161">
        <v>0</v>
      </c>
      <c r="AU45" s="161">
        <v>0</v>
      </c>
      <c r="AV45" s="161">
        <v>0</v>
      </c>
      <c r="AW45" s="157">
        <f t="shared" si="6"/>
        <v>0</v>
      </c>
      <c r="AX45" s="159">
        <v>0</v>
      </c>
      <c r="AY45" s="161">
        <v>0</v>
      </c>
      <c r="AZ45" s="161">
        <v>0</v>
      </c>
      <c r="BA45" s="161">
        <v>0</v>
      </c>
      <c r="BB45" s="157">
        <f t="shared" si="7"/>
        <v>0</v>
      </c>
      <c r="BC45" s="159">
        <v>0</v>
      </c>
      <c r="BD45" s="161">
        <v>0</v>
      </c>
      <c r="BE45" s="161">
        <v>0</v>
      </c>
      <c r="BF45" s="161">
        <v>0</v>
      </c>
      <c r="BG45" s="157">
        <f t="shared" si="8"/>
        <v>0</v>
      </c>
      <c r="BH45" s="159">
        <v>0</v>
      </c>
      <c r="BI45" s="161">
        <v>0</v>
      </c>
      <c r="BJ45" s="161">
        <v>0</v>
      </c>
      <c r="BK45" s="161">
        <v>0</v>
      </c>
      <c r="BL45" s="157">
        <f t="shared" si="9"/>
        <v>0</v>
      </c>
      <c r="BM45" s="159">
        <v>0</v>
      </c>
      <c r="BN45" s="161">
        <v>0</v>
      </c>
      <c r="BO45" s="161">
        <v>0</v>
      </c>
      <c r="BP45" s="161">
        <v>0</v>
      </c>
      <c r="BQ45" s="157">
        <f t="shared" si="10"/>
        <v>0</v>
      </c>
      <c r="BR45" s="159">
        <f t="shared" si="11"/>
        <v>747325</v>
      </c>
      <c r="BS45" s="183">
        <f t="shared" si="11"/>
        <v>3255298</v>
      </c>
      <c r="BT45" s="161">
        <f t="shared" si="11"/>
        <v>11213</v>
      </c>
      <c r="BU45" s="161">
        <f t="shared" si="11"/>
        <v>0</v>
      </c>
      <c r="BV45" s="158">
        <f t="shared" si="12"/>
        <v>4013836</v>
      </c>
      <c r="BW45" s="129"/>
      <c r="BX45" s="681"/>
      <c r="BY45" s="328"/>
      <c r="BZ45" s="285"/>
      <c r="CA45" s="683"/>
      <c r="CB45" s="120"/>
    </row>
    <row r="46" spans="1:80" ht="12" customHeight="1" x14ac:dyDescent="0.25">
      <c r="A46" s="303">
        <v>40</v>
      </c>
      <c r="B46" s="304" t="s">
        <v>261</v>
      </c>
      <c r="D46" s="305"/>
      <c r="E46" s="184">
        <f>1450386-69800</f>
        <v>1380586</v>
      </c>
      <c r="F46" s="183">
        <f>60580589-4570624</f>
        <v>56009965</v>
      </c>
      <c r="G46" s="183">
        <v>5277</v>
      </c>
      <c r="H46" s="183">
        <v>0</v>
      </c>
      <c r="I46" s="157">
        <f t="shared" si="0"/>
        <v>57395828</v>
      </c>
      <c r="J46" s="159">
        <v>51967</v>
      </c>
      <c r="K46" s="161">
        <v>7903395</v>
      </c>
      <c r="L46" s="161">
        <v>0</v>
      </c>
      <c r="M46" s="161">
        <v>0</v>
      </c>
      <c r="N46" s="157">
        <f t="shared" si="13"/>
        <v>7955362</v>
      </c>
      <c r="O46" s="161">
        <v>84343</v>
      </c>
      <c r="P46" s="161">
        <v>3302592</v>
      </c>
      <c r="Q46" s="161">
        <v>40</v>
      </c>
      <c r="R46" s="161">
        <v>0</v>
      </c>
      <c r="S46" s="157">
        <f t="shared" si="16"/>
        <v>3386975</v>
      </c>
      <c r="T46" s="159">
        <v>63315</v>
      </c>
      <c r="U46" s="161">
        <v>1490693</v>
      </c>
      <c r="V46" s="161">
        <v>34</v>
      </c>
      <c r="W46" s="161">
        <v>0</v>
      </c>
      <c r="X46" s="157">
        <f t="shared" si="3"/>
        <v>1554042</v>
      </c>
      <c r="Y46" s="159">
        <v>70005</v>
      </c>
      <c r="Z46" s="161">
        <v>8449559</v>
      </c>
      <c r="AA46" s="161">
        <v>52</v>
      </c>
      <c r="AB46" s="161">
        <v>0</v>
      </c>
      <c r="AC46" s="157">
        <f t="shared" si="4"/>
        <v>8519616</v>
      </c>
      <c r="AD46" s="159">
        <v>112281</v>
      </c>
      <c r="AE46" s="161">
        <v>3566488</v>
      </c>
      <c r="AF46" s="161">
        <v>581</v>
      </c>
      <c r="AG46" s="161">
        <v>631</v>
      </c>
      <c r="AH46" s="157">
        <f t="shared" si="5"/>
        <v>3679981</v>
      </c>
      <c r="AI46" s="159">
        <v>78163</v>
      </c>
      <c r="AJ46" s="161">
        <v>2426042</v>
      </c>
      <c r="AK46" s="161">
        <v>1466</v>
      </c>
      <c r="AL46" s="161">
        <v>0</v>
      </c>
      <c r="AM46" s="157">
        <f t="shared" si="14"/>
        <v>2505671</v>
      </c>
      <c r="AN46" s="159">
        <v>0</v>
      </c>
      <c r="AO46" s="161">
        <v>0</v>
      </c>
      <c r="AP46" s="161">
        <v>0</v>
      </c>
      <c r="AQ46" s="161">
        <v>0</v>
      </c>
      <c r="AR46" s="157">
        <f t="shared" si="1"/>
        <v>0</v>
      </c>
      <c r="AS46" s="159">
        <v>0</v>
      </c>
      <c r="AT46" s="161">
        <v>0</v>
      </c>
      <c r="AU46" s="161">
        <v>0</v>
      </c>
      <c r="AV46" s="161">
        <v>0</v>
      </c>
      <c r="AW46" s="157">
        <f t="shared" si="6"/>
        <v>0</v>
      </c>
      <c r="AX46" s="159">
        <v>0</v>
      </c>
      <c r="AY46" s="161">
        <v>0</v>
      </c>
      <c r="AZ46" s="161">
        <v>0</v>
      </c>
      <c r="BA46" s="161">
        <v>0</v>
      </c>
      <c r="BB46" s="157">
        <f t="shared" si="7"/>
        <v>0</v>
      </c>
      <c r="BC46" s="159">
        <v>0</v>
      </c>
      <c r="BD46" s="161">
        <v>0</v>
      </c>
      <c r="BE46" s="161">
        <v>0</v>
      </c>
      <c r="BF46" s="161">
        <v>0</v>
      </c>
      <c r="BG46" s="157">
        <f t="shared" si="8"/>
        <v>0</v>
      </c>
      <c r="BH46" s="159">
        <v>0</v>
      </c>
      <c r="BI46" s="161">
        <v>0</v>
      </c>
      <c r="BJ46" s="161">
        <v>0</v>
      </c>
      <c r="BK46" s="161">
        <v>0</v>
      </c>
      <c r="BL46" s="157">
        <f t="shared" si="9"/>
        <v>0</v>
      </c>
      <c r="BM46" s="159">
        <v>0</v>
      </c>
      <c r="BN46" s="161">
        <v>0</v>
      </c>
      <c r="BO46" s="161">
        <v>0</v>
      </c>
      <c r="BP46" s="161">
        <v>0</v>
      </c>
      <c r="BQ46" s="157">
        <f t="shared" si="10"/>
        <v>0</v>
      </c>
      <c r="BR46" s="159">
        <f t="shared" si="11"/>
        <v>460074</v>
      </c>
      <c r="BS46" s="183">
        <f t="shared" si="11"/>
        <v>27138769</v>
      </c>
      <c r="BT46" s="161">
        <f t="shared" si="11"/>
        <v>2173</v>
      </c>
      <c r="BU46" s="161">
        <f t="shared" si="11"/>
        <v>631</v>
      </c>
      <c r="BV46" s="158">
        <f t="shared" si="12"/>
        <v>27601647</v>
      </c>
      <c r="BW46" s="129"/>
      <c r="BX46" s="681"/>
      <c r="BY46" s="328"/>
      <c r="BZ46" s="285"/>
      <c r="CA46" s="683"/>
      <c r="CB46" s="120"/>
    </row>
    <row r="47" spans="1:80" ht="13.5" x14ac:dyDescent="0.25">
      <c r="A47" s="316">
        <v>41</v>
      </c>
      <c r="B47" s="317" t="s">
        <v>262</v>
      </c>
      <c r="C47" s="318"/>
      <c r="D47" s="319"/>
      <c r="E47" s="184">
        <f>3635726-50000-214000</f>
        <v>3371726</v>
      </c>
      <c r="F47" s="183">
        <v>8974139</v>
      </c>
      <c r="G47" s="183">
        <f>4606362+7000</f>
        <v>4613362</v>
      </c>
      <c r="H47" s="183">
        <v>0</v>
      </c>
      <c r="I47" s="157">
        <f t="shared" si="0"/>
        <v>16959227</v>
      </c>
      <c r="J47" s="159">
        <v>146563</v>
      </c>
      <c r="K47" s="161">
        <v>9809</v>
      </c>
      <c r="L47" s="161">
        <v>81382</v>
      </c>
      <c r="M47" s="161">
        <v>0</v>
      </c>
      <c r="N47" s="157">
        <f t="shared" si="13"/>
        <v>237754</v>
      </c>
      <c r="O47" s="161">
        <v>256175</v>
      </c>
      <c r="P47" s="161">
        <v>770443</v>
      </c>
      <c r="Q47" s="161">
        <v>31191</v>
      </c>
      <c r="R47" s="161">
        <v>0</v>
      </c>
      <c r="S47" s="157">
        <f t="shared" si="16"/>
        <v>1057809</v>
      </c>
      <c r="T47" s="159">
        <v>218438</v>
      </c>
      <c r="U47" s="161">
        <v>232244</v>
      </c>
      <c r="V47" s="161">
        <v>22379</v>
      </c>
      <c r="W47" s="161">
        <v>0</v>
      </c>
      <c r="X47" s="157">
        <f t="shared" si="3"/>
        <v>473061</v>
      </c>
      <c r="Y47" s="159">
        <v>186291</v>
      </c>
      <c r="Z47" s="161">
        <v>1118178</v>
      </c>
      <c r="AA47" s="161">
        <v>47338</v>
      </c>
      <c r="AB47" s="161">
        <v>0</v>
      </c>
      <c r="AC47" s="157">
        <f t="shared" si="4"/>
        <v>1351807</v>
      </c>
      <c r="AD47" s="159">
        <v>343660</v>
      </c>
      <c r="AE47" s="161">
        <v>501714</v>
      </c>
      <c r="AF47" s="161">
        <v>348689</v>
      </c>
      <c r="AG47" s="161">
        <v>0</v>
      </c>
      <c r="AH47" s="157">
        <f>SUM(AD47:AG47)</f>
        <v>1194063</v>
      </c>
      <c r="AI47" s="159">
        <v>346114</v>
      </c>
      <c r="AJ47" s="161">
        <v>1396184</v>
      </c>
      <c r="AK47" s="161">
        <v>225620</v>
      </c>
      <c r="AL47" s="161">
        <v>0</v>
      </c>
      <c r="AM47" s="157">
        <f t="shared" si="14"/>
        <v>1967918</v>
      </c>
      <c r="AN47" s="159">
        <v>0</v>
      </c>
      <c r="AO47" s="161">
        <v>0</v>
      </c>
      <c r="AP47" s="161">
        <v>0</v>
      </c>
      <c r="AQ47" s="161">
        <v>0</v>
      </c>
      <c r="AR47" s="157">
        <f t="shared" si="1"/>
        <v>0</v>
      </c>
      <c r="AS47" s="159">
        <v>0</v>
      </c>
      <c r="AT47" s="161">
        <v>0</v>
      </c>
      <c r="AU47" s="161">
        <v>0</v>
      </c>
      <c r="AV47" s="161">
        <v>0</v>
      </c>
      <c r="AW47" s="157">
        <f t="shared" si="6"/>
        <v>0</v>
      </c>
      <c r="AX47" s="159">
        <v>0</v>
      </c>
      <c r="AY47" s="161">
        <v>0</v>
      </c>
      <c r="AZ47" s="161">
        <v>0</v>
      </c>
      <c r="BA47" s="161">
        <v>0</v>
      </c>
      <c r="BB47" s="157">
        <f t="shared" si="7"/>
        <v>0</v>
      </c>
      <c r="BC47" s="159">
        <v>0</v>
      </c>
      <c r="BD47" s="161">
        <v>0</v>
      </c>
      <c r="BE47" s="161">
        <v>0</v>
      </c>
      <c r="BF47" s="161">
        <v>0</v>
      </c>
      <c r="BG47" s="157">
        <f t="shared" si="8"/>
        <v>0</v>
      </c>
      <c r="BH47" s="159">
        <v>0</v>
      </c>
      <c r="BI47" s="161">
        <v>0</v>
      </c>
      <c r="BJ47" s="161">
        <v>0</v>
      </c>
      <c r="BK47" s="161">
        <v>0</v>
      </c>
      <c r="BL47" s="157">
        <f t="shared" si="9"/>
        <v>0</v>
      </c>
      <c r="BM47" s="159">
        <v>0</v>
      </c>
      <c r="BN47" s="161">
        <v>0</v>
      </c>
      <c r="BO47" s="161">
        <v>0</v>
      </c>
      <c r="BP47" s="161">
        <v>0</v>
      </c>
      <c r="BQ47" s="157">
        <f t="shared" si="10"/>
        <v>0</v>
      </c>
      <c r="BR47" s="159">
        <f t="shared" si="11"/>
        <v>1497241</v>
      </c>
      <c r="BS47" s="183">
        <f t="shared" si="11"/>
        <v>4028572</v>
      </c>
      <c r="BT47" s="161">
        <f t="shared" si="11"/>
        <v>756599</v>
      </c>
      <c r="BU47" s="161">
        <f t="shared" si="11"/>
        <v>0</v>
      </c>
      <c r="BV47" s="158">
        <f t="shared" si="12"/>
        <v>6282412</v>
      </c>
      <c r="BW47" s="129"/>
      <c r="BX47" s="681"/>
      <c r="BY47" s="328"/>
      <c r="BZ47" s="285"/>
      <c r="CA47" s="683"/>
      <c r="CB47" s="120"/>
    </row>
    <row r="48" spans="1:80" x14ac:dyDescent="0.2">
      <c r="A48" s="300" t="s">
        <v>263</v>
      </c>
      <c r="B48" s="304"/>
      <c r="D48" s="320"/>
      <c r="E48" s="153">
        <f t="shared" ref="E48:BP48" si="17">SUM(E7:E47)</f>
        <v>262775225</v>
      </c>
      <c r="F48" s="152">
        <f t="shared" si="17"/>
        <v>663940045</v>
      </c>
      <c r="G48" s="152">
        <f t="shared" si="17"/>
        <v>15484983</v>
      </c>
      <c r="H48" s="152">
        <f t="shared" si="17"/>
        <v>45453694</v>
      </c>
      <c r="I48" s="135">
        <f t="shared" si="17"/>
        <v>987653947</v>
      </c>
      <c r="J48" s="153">
        <f t="shared" si="17"/>
        <v>17622572</v>
      </c>
      <c r="K48" s="152">
        <f t="shared" si="17"/>
        <v>45213323</v>
      </c>
      <c r="L48" s="152">
        <f t="shared" si="17"/>
        <v>324568</v>
      </c>
      <c r="M48" s="152">
        <f t="shared" si="17"/>
        <v>4835</v>
      </c>
      <c r="N48" s="135">
        <f>SUM(N7:N47)</f>
        <v>63165298</v>
      </c>
      <c r="O48" s="152">
        <f t="shared" si="17"/>
        <v>19267389</v>
      </c>
      <c r="P48" s="152">
        <f t="shared" si="17"/>
        <v>50862165</v>
      </c>
      <c r="Q48" s="152">
        <f t="shared" si="17"/>
        <v>861947</v>
      </c>
      <c r="R48" s="152">
        <f t="shared" si="17"/>
        <v>1003876</v>
      </c>
      <c r="S48" s="135">
        <f t="shared" si="17"/>
        <v>71995377</v>
      </c>
      <c r="T48" s="153">
        <f t="shared" si="17"/>
        <v>18476452</v>
      </c>
      <c r="U48" s="152">
        <f t="shared" si="17"/>
        <v>42244408</v>
      </c>
      <c r="V48" s="152">
        <f t="shared" si="17"/>
        <v>15761</v>
      </c>
      <c r="W48" s="152">
        <f t="shared" si="17"/>
        <v>475861</v>
      </c>
      <c r="X48" s="135">
        <f t="shared" si="17"/>
        <v>61212482</v>
      </c>
      <c r="Y48" s="153">
        <f t="shared" si="17"/>
        <v>18789001</v>
      </c>
      <c r="Z48" s="152">
        <f t="shared" si="17"/>
        <v>95242085</v>
      </c>
      <c r="AA48" s="152">
        <f t="shared" si="17"/>
        <v>518145</v>
      </c>
      <c r="AB48" s="152">
        <f t="shared" si="17"/>
        <v>3806670</v>
      </c>
      <c r="AC48" s="135">
        <f t="shared" si="17"/>
        <v>118355901</v>
      </c>
      <c r="AD48" s="153">
        <f t="shared" si="17"/>
        <v>19456847</v>
      </c>
      <c r="AE48" s="152">
        <f t="shared" si="17"/>
        <v>57620690</v>
      </c>
      <c r="AF48" s="152">
        <f t="shared" si="17"/>
        <v>905002</v>
      </c>
      <c r="AG48" s="152">
        <f t="shared" si="17"/>
        <v>5002462</v>
      </c>
      <c r="AH48" s="135">
        <f>SUM(AH7:AH47)</f>
        <v>82985001</v>
      </c>
      <c r="AI48" s="153">
        <f t="shared" si="17"/>
        <v>19716963</v>
      </c>
      <c r="AJ48" s="152">
        <f t="shared" si="17"/>
        <v>52080089</v>
      </c>
      <c r="AK48" s="152">
        <f t="shared" si="17"/>
        <v>867648</v>
      </c>
      <c r="AL48" s="152">
        <f>SUM(AL7:AL47)</f>
        <v>3018261</v>
      </c>
      <c r="AM48" s="135">
        <f>SUM(AM7:AM47)</f>
        <v>75682961</v>
      </c>
      <c r="AN48" s="153">
        <f t="shared" si="17"/>
        <v>0</v>
      </c>
      <c r="AO48" s="152">
        <f t="shared" si="17"/>
        <v>0</v>
      </c>
      <c r="AP48" s="152">
        <f t="shared" si="17"/>
        <v>0</v>
      </c>
      <c r="AQ48" s="152">
        <f t="shared" si="17"/>
        <v>0</v>
      </c>
      <c r="AR48" s="135">
        <f t="shared" si="17"/>
        <v>0</v>
      </c>
      <c r="AS48" s="153">
        <f t="shared" si="17"/>
        <v>0</v>
      </c>
      <c r="AT48" s="152">
        <f t="shared" si="17"/>
        <v>0</v>
      </c>
      <c r="AU48" s="152">
        <f t="shared" si="17"/>
        <v>0</v>
      </c>
      <c r="AV48" s="152">
        <f t="shared" si="17"/>
        <v>0</v>
      </c>
      <c r="AW48" s="135">
        <f t="shared" si="17"/>
        <v>0</v>
      </c>
      <c r="AX48" s="153">
        <f t="shared" si="17"/>
        <v>0</v>
      </c>
      <c r="AY48" s="152">
        <f t="shared" si="17"/>
        <v>0</v>
      </c>
      <c r="AZ48" s="152">
        <f t="shared" si="17"/>
        <v>0</v>
      </c>
      <c r="BA48" s="152">
        <f t="shared" si="17"/>
        <v>0</v>
      </c>
      <c r="BB48" s="135">
        <f t="shared" si="17"/>
        <v>0</v>
      </c>
      <c r="BC48" s="153">
        <f t="shared" si="17"/>
        <v>0</v>
      </c>
      <c r="BD48" s="152">
        <f t="shared" si="17"/>
        <v>0</v>
      </c>
      <c r="BE48" s="152">
        <f t="shared" si="17"/>
        <v>0</v>
      </c>
      <c r="BF48" s="152">
        <f t="shared" si="17"/>
        <v>0</v>
      </c>
      <c r="BG48" s="135">
        <f t="shared" si="17"/>
        <v>0</v>
      </c>
      <c r="BH48" s="153">
        <f t="shared" si="17"/>
        <v>0</v>
      </c>
      <c r="BI48" s="152">
        <f t="shared" si="17"/>
        <v>0</v>
      </c>
      <c r="BJ48" s="152">
        <f t="shared" si="17"/>
        <v>0</v>
      </c>
      <c r="BK48" s="152">
        <f t="shared" si="17"/>
        <v>0</v>
      </c>
      <c r="BL48" s="135">
        <f t="shared" si="17"/>
        <v>0</v>
      </c>
      <c r="BM48" s="153">
        <f t="shared" si="17"/>
        <v>0</v>
      </c>
      <c r="BN48" s="152">
        <f t="shared" si="17"/>
        <v>0</v>
      </c>
      <c r="BO48" s="152">
        <f t="shared" si="17"/>
        <v>0</v>
      </c>
      <c r="BP48" s="152">
        <f t="shared" si="17"/>
        <v>0</v>
      </c>
      <c r="BQ48" s="135">
        <f t="shared" ref="BQ48:BV48" si="18">SUM(BQ7:BQ47)</f>
        <v>0</v>
      </c>
      <c r="BR48" s="153">
        <f t="shared" si="18"/>
        <v>113329224</v>
      </c>
      <c r="BS48" s="152">
        <f t="shared" si="18"/>
        <v>343262760</v>
      </c>
      <c r="BT48" s="152">
        <f t="shared" si="18"/>
        <v>3493071</v>
      </c>
      <c r="BU48" s="152">
        <f t="shared" si="18"/>
        <v>13311965</v>
      </c>
      <c r="BV48" s="134">
        <f t="shared" si="18"/>
        <v>473397020</v>
      </c>
      <c r="BW48" s="129"/>
      <c r="BX48" s="681"/>
      <c r="BY48" s="285"/>
      <c r="BZ48" s="321"/>
    </row>
    <row r="49" spans="1:79" x14ac:dyDescent="0.2">
      <c r="A49" s="322" t="s">
        <v>264</v>
      </c>
      <c r="B49" s="304"/>
      <c r="D49" s="320"/>
      <c r="E49" s="170"/>
      <c r="F49" s="137"/>
      <c r="G49" s="137"/>
      <c r="H49" s="137"/>
      <c r="I49" s="171"/>
      <c r="J49" s="170"/>
      <c r="K49" s="137"/>
      <c r="L49" s="137"/>
      <c r="M49" s="137"/>
      <c r="N49" s="171"/>
      <c r="O49" s="137"/>
      <c r="P49" s="137"/>
      <c r="Q49" s="137"/>
      <c r="R49" s="137"/>
      <c r="S49" s="171"/>
      <c r="T49" s="170"/>
      <c r="U49" s="137"/>
      <c r="V49" s="137"/>
      <c r="W49" s="137"/>
      <c r="X49" s="171"/>
      <c r="Y49" s="170"/>
      <c r="Z49" s="137"/>
      <c r="AA49" s="137"/>
      <c r="AB49" s="137"/>
      <c r="AC49" s="171"/>
      <c r="AD49" s="170"/>
      <c r="AE49" s="137"/>
      <c r="AF49" s="137"/>
      <c r="AG49" s="137"/>
      <c r="AH49" s="171"/>
      <c r="AI49" s="170"/>
      <c r="AJ49" s="137"/>
      <c r="AK49" s="137"/>
      <c r="AL49" s="137"/>
      <c r="AM49" s="171"/>
      <c r="AN49" s="170"/>
      <c r="AO49" s="137"/>
      <c r="AP49" s="137"/>
      <c r="AQ49" s="137"/>
      <c r="AR49" s="171"/>
      <c r="AS49" s="170"/>
      <c r="AT49" s="137"/>
      <c r="AU49" s="137"/>
      <c r="AV49" s="137"/>
      <c r="AW49" s="171"/>
      <c r="AX49" s="170"/>
      <c r="AY49" s="137"/>
      <c r="AZ49" s="137"/>
      <c r="BA49" s="137"/>
      <c r="BB49" s="171"/>
      <c r="BC49" s="170"/>
      <c r="BD49" s="137"/>
      <c r="BE49" s="137"/>
      <c r="BF49" s="137"/>
      <c r="BG49" s="171"/>
      <c r="BH49" s="170"/>
      <c r="BI49" s="137"/>
      <c r="BJ49" s="137"/>
      <c r="BK49" s="137"/>
      <c r="BL49" s="171"/>
      <c r="BM49" s="170"/>
      <c r="BN49" s="137"/>
      <c r="BO49" s="137"/>
      <c r="BP49" s="137"/>
      <c r="BQ49" s="171"/>
      <c r="BR49" s="170"/>
      <c r="BS49" s="137"/>
      <c r="BT49" s="137"/>
      <c r="BU49" s="137"/>
      <c r="BV49" s="225"/>
      <c r="BW49" s="129"/>
      <c r="BX49" s="681"/>
      <c r="BY49" s="285"/>
      <c r="BZ49" s="321"/>
    </row>
    <row r="50" spans="1:79" x14ac:dyDescent="0.2">
      <c r="A50" s="300" t="s">
        <v>26</v>
      </c>
      <c r="D50" s="323"/>
      <c r="E50" s="167"/>
      <c r="F50" s="166"/>
      <c r="G50" s="166"/>
      <c r="H50" s="166"/>
      <c r="I50" s="171"/>
      <c r="J50" s="167"/>
      <c r="K50" s="166"/>
      <c r="L50" s="166"/>
      <c r="M50" s="166"/>
      <c r="N50" s="171"/>
      <c r="O50" s="166"/>
      <c r="P50" s="166"/>
      <c r="Q50" s="166"/>
      <c r="R50" s="166"/>
      <c r="S50" s="170"/>
      <c r="T50" s="167"/>
      <c r="U50" s="166"/>
      <c r="V50" s="166"/>
      <c r="W50" s="166"/>
      <c r="X50" s="170"/>
      <c r="Y50" s="167"/>
      <c r="Z50" s="166"/>
      <c r="AA50" s="166"/>
      <c r="AB50" s="166"/>
      <c r="AC50" s="170"/>
      <c r="AD50" s="167"/>
      <c r="AE50" s="166"/>
      <c r="AF50" s="166"/>
      <c r="AG50" s="166"/>
      <c r="AH50" s="170"/>
      <c r="AI50" s="167"/>
      <c r="AJ50" s="166"/>
      <c r="AK50" s="166"/>
      <c r="AL50" s="166"/>
      <c r="AM50" s="170"/>
      <c r="AN50" s="167"/>
      <c r="AO50" s="166"/>
      <c r="AP50" s="166"/>
      <c r="AQ50" s="166"/>
      <c r="AR50" s="170"/>
      <c r="AS50" s="167"/>
      <c r="AT50" s="166"/>
      <c r="AU50" s="166"/>
      <c r="AV50" s="166"/>
      <c r="AW50" s="170"/>
      <c r="AX50" s="167"/>
      <c r="AY50" s="166"/>
      <c r="AZ50" s="166"/>
      <c r="BA50" s="166"/>
      <c r="BB50" s="170"/>
      <c r="BC50" s="167"/>
      <c r="BD50" s="166"/>
      <c r="BE50" s="166"/>
      <c r="BF50" s="166"/>
      <c r="BG50" s="170"/>
      <c r="BH50" s="167"/>
      <c r="BI50" s="166"/>
      <c r="BJ50" s="166"/>
      <c r="BK50" s="166"/>
      <c r="BL50" s="170"/>
      <c r="BM50" s="167"/>
      <c r="BN50" s="166"/>
      <c r="BO50" s="166"/>
      <c r="BP50" s="166"/>
      <c r="BQ50" s="170"/>
      <c r="BR50" s="167"/>
      <c r="BS50" s="166"/>
      <c r="BT50" s="166"/>
      <c r="BU50" s="166"/>
      <c r="BV50" s="225"/>
      <c r="BW50" s="324"/>
      <c r="BX50" s="681"/>
      <c r="BY50" s="285"/>
      <c r="BZ50" s="321"/>
    </row>
    <row r="51" spans="1:79" x14ac:dyDescent="0.2">
      <c r="A51" s="303" t="s">
        <v>265</v>
      </c>
      <c r="B51" s="325"/>
      <c r="C51" s="325"/>
      <c r="D51" s="323"/>
      <c r="E51" s="183">
        <v>7798</v>
      </c>
      <c r="F51" s="183">
        <v>0</v>
      </c>
      <c r="G51" s="183">
        <v>0</v>
      </c>
      <c r="H51" s="183">
        <v>0</v>
      </c>
      <c r="I51" s="157">
        <f t="shared" ref="I51:I57" si="19">SUM(E51:H51)</f>
        <v>7798</v>
      </c>
      <c r="J51" s="184">
        <v>475</v>
      </c>
      <c r="K51" s="183">
        <v>0</v>
      </c>
      <c r="L51" s="183">
        <v>0</v>
      </c>
      <c r="M51" s="183">
        <v>0</v>
      </c>
      <c r="N51" s="157">
        <f>SUM(J51:M51)</f>
        <v>475</v>
      </c>
      <c r="O51" s="183">
        <v>475</v>
      </c>
      <c r="P51" s="183">
        <v>0</v>
      </c>
      <c r="Q51" s="183">
        <v>0</v>
      </c>
      <c r="R51" s="183">
        <v>0</v>
      </c>
      <c r="S51" s="157">
        <f>SUM(O51:R51)</f>
        <v>475</v>
      </c>
      <c r="T51" s="183">
        <v>475</v>
      </c>
      <c r="U51" s="183">
        <v>0</v>
      </c>
      <c r="V51" s="183">
        <v>0</v>
      </c>
      <c r="W51" s="183">
        <v>0</v>
      </c>
      <c r="X51" s="157">
        <f>SUM(T51:W51)</f>
        <v>475</v>
      </c>
      <c r="Y51" s="183">
        <v>475</v>
      </c>
      <c r="Z51" s="183">
        <v>0</v>
      </c>
      <c r="AA51" s="183">
        <v>0</v>
      </c>
      <c r="AB51" s="183">
        <v>0</v>
      </c>
      <c r="AC51" s="157">
        <f>SUM(Y51:AB51)</f>
        <v>475</v>
      </c>
      <c r="AD51" s="183">
        <v>475</v>
      </c>
      <c r="AE51" s="183">
        <v>0</v>
      </c>
      <c r="AF51" s="183">
        <v>0</v>
      </c>
      <c r="AG51" s="183">
        <v>0</v>
      </c>
      <c r="AH51" s="157">
        <f>SUM(AD51:AG51)</f>
        <v>475</v>
      </c>
      <c r="AI51" s="183">
        <v>475</v>
      </c>
      <c r="AJ51" s="183">
        <v>0</v>
      </c>
      <c r="AK51" s="183">
        <v>0</v>
      </c>
      <c r="AL51" s="183">
        <v>0</v>
      </c>
      <c r="AM51" s="157">
        <f>SUM(AI51:AL51)</f>
        <v>475</v>
      </c>
      <c r="AN51" s="183">
        <v>0</v>
      </c>
      <c r="AO51" s="183">
        <v>0</v>
      </c>
      <c r="AP51" s="183">
        <v>0</v>
      </c>
      <c r="AQ51" s="183">
        <v>0</v>
      </c>
      <c r="AR51" s="157">
        <f>SUM(AN51:AQ51)</f>
        <v>0</v>
      </c>
      <c r="AS51" s="183">
        <v>0</v>
      </c>
      <c r="AT51" s="183">
        <v>0</v>
      </c>
      <c r="AU51" s="183">
        <v>0</v>
      </c>
      <c r="AV51" s="183">
        <v>0</v>
      </c>
      <c r="AW51" s="157">
        <f>SUM(AS51:AV51)</f>
        <v>0</v>
      </c>
      <c r="AX51" s="183">
        <v>0</v>
      </c>
      <c r="AY51" s="183">
        <v>0</v>
      </c>
      <c r="AZ51" s="183">
        <v>0</v>
      </c>
      <c r="BA51" s="183">
        <v>0</v>
      </c>
      <c r="BB51" s="157">
        <f>SUM(AX51:BA51)</f>
        <v>0</v>
      </c>
      <c r="BC51" s="183">
        <v>0</v>
      </c>
      <c r="BD51" s="183">
        <v>0</v>
      </c>
      <c r="BE51" s="183">
        <v>0</v>
      </c>
      <c r="BF51" s="183">
        <v>0</v>
      </c>
      <c r="BG51" s="157">
        <f>SUM(BC51:BF51)</f>
        <v>0</v>
      </c>
      <c r="BH51" s="183">
        <v>0</v>
      </c>
      <c r="BI51" s="183">
        <v>0</v>
      </c>
      <c r="BJ51" s="183">
        <v>0</v>
      </c>
      <c r="BK51" s="183">
        <v>0</v>
      </c>
      <c r="BL51" s="157">
        <f>SUM(BH51:BK51)</f>
        <v>0</v>
      </c>
      <c r="BM51" s="183">
        <v>0</v>
      </c>
      <c r="BN51" s="183">
        <v>0</v>
      </c>
      <c r="BO51" s="183">
        <v>0</v>
      </c>
      <c r="BP51" s="183">
        <v>0</v>
      </c>
      <c r="BQ51" s="157">
        <f>SUM(BM51:BP51)</f>
        <v>0</v>
      </c>
      <c r="BR51" s="183">
        <f t="shared" ref="BR51:BT52" si="20">+J51+O51+T51+Y51+AD51+AI51+AN51+AS51+AX51+BC51+BH51+BM51</f>
        <v>2850</v>
      </c>
      <c r="BS51" s="183">
        <f t="shared" si="20"/>
        <v>0</v>
      </c>
      <c r="BT51" s="183">
        <f t="shared" si="20"/>
        <v>0</v>
      </c>
      <c r="BU51" s="183">
        <f>+M51+R51+W51+AB51+AG51+AL51+AQ51+AV51+BA51+BF51+BK51+BP51</f>
        <v>0</v>
      </c>
      <c r="BV51" s="158">
        <f>SUM(BR51:BU51)</f>
        <v>2850</v>
      </c>
      <c r="BW51" s="129"/>
      <c r="BX51" s="681"/>
      <c r="BY51" s="161"/>
      <c r="BZ51" s="326"/>
      <c r="CA51" s="684"/>
    </row>
    <row r="52" spans="1:79" x14ac:dyDescent="0.2">
      <c r="A52" s="303" t="s">
        <v>266</v>
      </c>
      <c r="B52" s="325"/>
      <c r="C52" s="281"/>
      <c r="D52" s="320" t="s">
        <v>86</v>
      </c>
      <c r="E52" s="183">
        <v>507157</v>
      </c>
      <c r="F52" s="183">
        <v>0</v>
      </c>
      <c r="G52" s="183">
        <v>0</v>
      </c>
      <c r="H52" s="183">
        <v>0</v>
      </c>
      <c r="I52" s="157">
        <f t="shared" si="19"/>
        <v>507157</v>
      </c>
      <c r="J52" s="184">
        <v>42263</v>
      </c>
      <c r="K52" s="183">
        <v>0</v>
      </c>
      <c r="L52" s="183">
        <v>0</v>
      </c>
      <c r="M52" s="183">
        <v>0</v>
      </c>
      <c r="N52" s="157">
        <f>SUM(J52:M52)</f>
        <v>42263</v>
      </c>
      <c r="O52" s="183">
        <v>42263</v>
      </c>
      <c r="P52" s="183">
        <v>0</v>
      </c>
      <c r="Q52" s="183">
        <v>0</v>
      </c>
      <c r="R52" s="183">
        <v>0</v>
      </c>
      <c r="S52" s="157">
        <f>SUM(O52:R52)</f>
        <v>42263</v>
      </c>
      <c r="T52" s="183">
        <v>42263</v>
      </c>
      <c r="U52" s="183">
        <v>0</v>
      </c>
      <c r="V52" s="183">
        <v>0</v>
      </c>
      <c r="W52" s="183">
        <v>0</v>
      </c>
      <c r="X52" s="157">
        <f>SUM(T52:W52)</f>
        <v>42263</v>
      </c>
      <c r="Y52" s="183">
        <v>42263</v>
      </c>
      <c r="Z52" s="183">
        <v>0</v>
      </c>
      <c r="AA52" s="183">
        <v>0</v>
      </c>
      <c r="AB52" s="183">
        <v>0</v>
      </c>
      <c r="AC52" s="157">
        <f>SUM(Y52:AB52)</f>
        <v>42263</v>
      </c>
      <c r="AD52" s="183">
        <v>42263</v>
      </c>
      <c r="AE52" s="183">
        <v>0</v>
      </c>
      <c r="AF52" s="183">
        <v>0</v>
      </c>
      <c r="AG52" s="183">
        <v>0</v>
      </c>
      <c r="AH52" s="157">
        <f>SUM(AD52:AG52)</f>
        <v>42263</v>
      </c>
      <c r="AI52" s="183">
        <v>42263</v>
      </c>
      <c r="AJ52" s="183">
        <v>0</v>
      </c>
      <c r="AK52" s="183">
        <v>0</v>
      </c>
      <c r="AL52" s="183">
        <v>0</v>
      </c>
      <c r="AM52" s="157">
        <f>SUM(AI52:AL52)</f>
        <v>42263</v>
      </c>
      <c r="AN52" s="183">
        <v>0</v>
      </c>
      <c r="AO52" s="183">
        <v>0</v>
      </c>
      <c r="AP52" s="183">
        <v>0</v>
      </c>
      <c r="AQ52" s="183">
        <v>0</v>
      </c>
      <c r="AR52" s="157">
        <f>SUM(AN52:AQ52)</f>
        <v>0</v>
      </c>
      <c r="AS52" s="183">
        <v>0</v>
      </c>
      <c r="AT52" s="183">
        <v>0</v>
      </c>
      <c r="AU52" s="183">
        <v>0</v>
      </c>
      <c r="AV52" s="183">
        <v>0</v>
      </c>
      <c r="AW52" s="157">
        <f>SUM(AS52:AV52)</f>
        <v>0</v>
      </c>
      <c r="AX52" s="183">
        <v>0</v>
      </c>
      <c r="AY52" s="183">
        <v>0</v>
      </c>
      <c r="AZ52" s="183">
        <v>0</v>
      </c>
      <c r="BA52" s="183">
        <v>0</v>
      </c>
      <c r="BB52" s="157">
        <f>SUM(AX52:BA52)</f>
        <v>0</v>
      </c>
      <c r="BC52" s="183">
        <v>0</v>
      </c>
      <c r="BD52" s="183">
        <v>0</v>
      </c>
      <c r="BE52" s="183">
        <v>0</v>
      </c>
      <c r="BF52" s="183">
        <v>0</v>
      </c>
      <c r="BG52" s="157">
        <f>SUM(BC52:BF52)</f>
        <v>0</v>
      </c>
      <c r="BH52" s="183">
        <v>0</v>
      </c>
      <c r="BI52" s="183">
        <v>0</v>
      </c>
      <c r="BJ52" s="183">
        <v>0</v>
      </c>
      <c r="BK52" s="183">
        <v>0</v>
      </c>
      <c r="BL52" s="157">
        <f>SUM(BH52:BK52)</f>
        <v>0</v>
      </c>
      <c r="BM52" s="183">
        <v>0</v>
      </c>
      <c r="BN52" s="183">
        <v>0</v>
      </c>
      <c r="BO52" s="183">
        <v>0</v>
      </c>
      <c r="BP52" s="183">
        <v>0</v>
      </c>
      <c r="BQ52" s="157">
        <f>SUM(BM52:BP52)</f>
        <v>0</v>
      </c>
      <c r="BR52" s="183">
        <f t="shared" si="20"/>
        <v>253578</v>
      </c>
      <c r="BS52" s="183">
        <f t="shared" si="20"/>
        <v>0</v>
      </c>
      <c r="BT52" s="183">
        <f t="shared" si="20"/>
        <v>0</v>
      </c>
      <c r="BU52" s="183">
        <f>+M52+R52+W52+AB52+AG52+AL52+AQ52+AV52+BA52+BF52+BK52+BP52</f>
        <v>0</v>
      </c>
      <c r="BV52" s="158">
        <f>SUM(BR52:BU52)</f>
        <v>253578</v>
      </c>
      <c r="BW52" s="129"/>
      <c r="BX52" s="681"/>
      <c r="BY52" s="161"/>
      <c r="BZ52" s="326"/>
      <c r="CA52" s="684"/>
    </row>
    <row r="53" spans="1:79" x14ac:dyDescent="0.2">
      <c r="A53" s="303" t="s">
        <v>267</v>
      </c>
      <c r="B53" s="325"/>
      <c r="C53" s="281"/>
      <c r="D53" s="327"/>
      <c r="E53" s="183">
        <f>SUM(E54:E55)</f>
        <v>236444437</v>
      </c>
      <c r="F53" s="183">
        <v>0</v>
      </c>
      <c r="G53" s="183">
        <v>0</v>
      </c>
      <c r="H53" s="183">
        <v>0</v>
      </c>
      <c r="I53" s="157">
        <f>SUM(I54:I55)</f>
        <v>236444437</v>
      </c>
      <c r="J53" s="184">
        <f>+J54+J55</f>
        <v>4156462.4270000001</v>
      </c>
      <c r="K53" s="183">
        <f>SUM(K54:K55)</f>
        <v>0</v>
      </c>
      <c r="L53" s="183">
        <f>SUM(L54:L55)</f>
        <v>0</v>
      </c>
      <c r="M53" s="183">
        <f>SUM(M54:M55)</f>
        <v>0</v>
      </c>
      <c r="N53" s="157">
        <f>SUM(J53:M53)</f>
        <v>4156462.4270000001</v>
      </c>
      <c r="O53" s="183">
        <f t="shared" ref="O53:X53" si="21">SUM(O54:O55)</f>
        <v>1746959.1300000001</v>
      </c>
      <c r="P53" s="183">
        <f t="shared" si="21"/>
        <v>0</v>
      </c>
      <c r="Q53" s="183">
        <f t="shared" si="21"/>
        <v>0</v>
      </c>
      <c r="R53" s="183">
        <f t="shared" si="21"/>
        <v>0</v>
      </c>
      <c r="S53" s="157">
        <f t="shared" si="21"/>
        <v>1746959.1300000001</v>
      </c>
      <c r="T53" s="183">
        <f t="shared" si="21"/>
        <v>23287136</v>
      </c>
      <c r="U53" s="183">
        <f t="shared" si="21"/>
        <v>0</v>
      </c>
      <c r="V53" s="183">
        <f t="shared" si="21"/>
        <v>0</v>
      </c>
      <c r="W53" s="183">
        <f t="shared" si="21"/>
        <v>0</v>
      </c>
      <c r="X53" s="157">
        <f t="shared" si="21"/>
        <v>23287136</v>
      </c>
      <c r="Y53" s="183">
        <f t="shared" ref="Y53:AH53" si="22">SUM(Y54:Y55)</f>
        <v>33793248</v>
      </c>
      <c r="Z53" s="183">
        <f t="shared" si="22"/>
        <v>0</v>
      </c>
      <c r="AA53" s="183">
        <f t="shared" si="22"/>
        <v>0</v>
      </c>
      <c r="AB53" s="183">
        <f t="shared" si="22"/>
        <v>0</v>
      </c>
      <c r="AC53" s="157">
        <f t="shared" si="22"/>
        <v>33793248</v>
      </c>
      <c r="AD53" s="183">
        <f t="shared" si="22"/>
        <v>32588390.123</v>
      </c>
      <c r="AE53" s="183">
        <f t="shared" si="22"/>
        <v>0</v>
      </c>
      <c r="AF53" s="183">
        <f t="shared" si="22"/>
        <v>0</v>
      </c>
      <c r="AG53" s="183">
        <f t="shared" si="22"/>
        <v>0</v>
      </c>
      <c r="AH53" s="157">
        <f t="shared" si="22"/>
        <v>32588390.123</v>
      </c>
      <c r="AI53" s="183">
        <f>SUM(AI54:AI55)</f>
        <v>20719704.243000001</v>
      </c>
      <c r="AJ53" s="183">
        <f t="shared" ref="AJ53:BQ53" si="23">SUM(AJ54:AJ55)</f>
        <v>0</v>
      </c>
      <c r="AK53" s="183">
        <f t="shared" si="23"/>
        <v>0</v>
      </c>
      <c r="AL53" s="183">
        <f t="shared" si="23"/>
        <v>0</v>
      </c>
      <c r="AM53" s="157">
        <f t="shared" si="23"/>
        <v>20719704.243000001</v>
      </c>
      <c r="AN53" s="183">
        <f t="shared" si="23"/>
        <v>0</v>
      </c>
      <c r="AO53" s="183">
        <f t="shared" si="23"/>
        <v>0</v>
      </c>
      <c r="AP53" s="183">
        <f t="shared" si="23"/>
        <v>0</v>
      </c>
      <c r="AQ53" s="183">
        <f t="shared" si="23"/>
        <v>0</v>
      </c>
      <c r="AR53" s="183">
        <f t="shared" si="23"/>
        <v>0</v>
      </c>
      <c r="AS53" s="183">
        <f t="shared" si="23"/>
        <v>0</v>
      </c>
      <c r="AT53" s="183">
        <f t="shared" si="23"/>
        <v>0</v>
      </c>
      <c r="AU53" s="183">
        <f t="shared" si="23"/>
        <v>0</v>
      </c>
      <c r="AV53" s="183">
        <f t="shared" si="23"/>
        <v>0</v>
      </c>
      <c r="AW53" s="183">
        <f t="shared" si="23"/>
        <v>0</v>
      </c>
      <c r="AX53" s="183">
        <f t="shared" si="23"/>
        <v>0</v>
      </c>
      <c r="AY53" s="183">
        <f t="shared" si="23"/>
        <v>0</v>
      </c>
      <c r="AZ53" s="183">
        <f t="shared" si="23"/>
        <v>0</v>
      </c>
      <c r="BA53" s="183">
        <f t="shared" si="23"/>
        <v>0</v>
      </c>
      <c r="BB53" s="183">
        <f t="shared" si="23"/>
        <v>0</v>
      </c>
      <c r="BC53" s="183">
        <f t="shared" si="23"/>
        <v>0</v>
      </c>
      <c r="BD53" s="183">
        <f t="shared" si="23"/>
        <v>0</v>
      </c>
      <c r="BE53" s="183">
        <f t="shared" si="23"/>
        <v>0</v>
      </c>
      <c r="BF53" s="183">
        <f t="shared" si="23"/>
        <v>0</v>
      </c>
      <c r="BG53" s="183">
        <f t="shared" si="23"/>
        <v>0</v>
      </c>
      <c r="BH53" s="183">
        <f t="shared" si="23"/>
        <v>0</v>
      </c>
      <c r="BI53" s="183">
        <f t="shared" si="23"/>
        <v>0</v>
      </c>
      <c r="BJ53" s="183">
        <f t="shared" si="23"/>
        <v>0</v>
      </c>
      <c r="BK53" s="183">
        <f t="shared" si="23"/>
        <v>0</v>
      </c>
      <c r="BL53" s="183">
        <f t="shared" si="23"/>
        <v>0</v>
      </c>
      <c r="BM53" s="183">
        <f t="shared" si="23"/>
        <v>0</v>
      </c>
      <c r="BN53" s="183">
        <f t="shared" si="23"/>
        <v>0</v>
      </c>
      <c r="BO53" s="183">
        <f t="shared" si="23"/>
        <v>0</v>
      </c>
      <c r="BP53" s="183">
        <f t="shared" si="23"/>
        <v>0</v>
      </c>
      <c r="BQ53" s="183">
        <f t="shared" si="23"/>
        <v>0</v>
      </c>
      <c r="BR53" s="183">
        <f>SUM(BR54:BR55)</f>
        <v>116291899.92299999</v>
      </c>
      <c r="BS53" s="183">
        <f>SUM(BS54:BS55)</f>
        <v>0</v>
      </c>
      <c r="BT53" s="183">
        <f>SUM(BT54:BT55)</f>
        <v>0</v>
      </c>
      <c r="BU53" s="183">
        <f>SUM(BU54:BU55)</f>
        <v>0</v>
      </c>
      <c r="BV53" s="158">
        <f>SUM(BV54:BV55)</f>
        <v>116291899.92299999</v>
      </c>
      <c r="BW53" s="129"/>
      <c r="BX53" s="681"/>
      <c r="BY53" s="161"/>
      <c r="BZ53" s="328"/>
      <c r="CA53" s="684"/>
    </row>
    <row r="54" spans="1:79" s="330" customFormat="1" x14ac:dyDescent="0.2">
      <c r="A54" s="329" t="s">
        <v>131</v>
      </c>
      <c r="C54" s="331"/>
      <c r="D54" s="327"/>
      <c r="E54" s="332">
        <f>229269955-110000+7187876-13394</f>
        <v>236334437</v>
      </c>
      <c r="F54" s="332">
        <v>0</v>
      </c>
      <c r="G54" s="332">
        <v>0</v>
      </c>
      <c r="H54" s="332">
        <v>0</v>
      </c>
      <c r="I54" s="187">
        <f>SUM(E54:H54)</f>
        <v>236334437</v>
      </c>
      <c r="J54" s="333">
        <f>4134676.685</f>
        <v>4134676.6850000001</v>
      </c>
      <c r="K54" s="332">
        <v>0</v>
      </c>
      <c r="L54" s="332">
        <v>0</v>
      </c>
      <c r="M54" s="332">
        <v>0</v>
      </c>
      <c r="N54" s="187">
        <f t="shared" ref="N54:N69" si="24">SUM(J54:M54)</f>
        <v>4134676.6850000001</v>
      </c>
      <c r="O54" s="332">
        <v>1746663.6</v>
      </c>
      <c r="P54" s="332">
        <v>0</v>
      </c>
      <c r="Q54" s="332">
        <v>0</v>
      </c>
      <c r="R54" s="332">
        <v>0</v>
      </c>
      <c r="S54" s="187">
        <f t="shared" ref="S54:S69" si="25">SUM(O54:R54)</f>
        <v>1746663.6</v>
      </c>
      <c r="T54" s="332">
        <v>23286764</v>
      </c>
      <c r="U54" s="332">
        <v>0</v>
      </c>
      <c r="V54" s="332">
        <v>0</v>
      </c>
      <c r="W54" s="332">
        <v>0</v>
      </c>
      <c r="X54" s="187">
        <f t="shared" ref="X54:X69" si="26">SUM(T54:W54)</f>
        <v>23286764</v>
      </c>
      <c r="Y54" s="334">
        <v>33793154.909999996</v>
      </c>
      <c r="Z54" s="334">
        <v>0</v>
      </c>
      <c r="AA54" s="334">
        <v>0</v>
      </c>
      <c r="AB54" s="334">
        <v>0</v>
      </c>
      <c r="AC54" s="187">
        <f t="shared" ref="AC54:AC69" si="27">SUM(Y54:AB54)</f>
        <v>33793154.909999996</v>
      </c>
      <c r="AD54" s="334">
        <v>32588003.640999999</v>
      </c>
      <c r="AE54" s="334">
        <v>0</v>
      </c>
      <c r="AF54" s="334">
        <v>0</v>
      </c>
      <c r="AG54" s="334">
        <v>0</v>
      </c>
      <c r="AH54" s="187">
        <f t="shared" ref="AH54:AH59" si="28">SUM(AD54:AG54)</f>
        <v>32588003.640999999</v>
      </c>
      <c r="AI54" s="334">
        <v>20719641.107999999</v>
      </c>
      <c r="AJ54" s="334">
        <v>0</v>
      </c>
      <c r="AK54" s="334">
        <v>0</v>
      </c>
      <c r="AL54" s="334">
        <v>0</v>
      </c>
      <c r="AM54" s="187">
        <f>SUM(AI54:AL54)</f>
        <v>20719641.107999999</v>
      </c>
      <c r="AN54" s="334">
        <v>0</v>
      </c>
      <c r="AO54" s="334">
        <v>0</v>
      </c>
      <c r="AP54" s="334">
        <v>0</v>
      </c>
      <c r="AQ54" s="334">
        <v>0</v>
      </c>
      <c r="AR54" s="187">
        <f t="shared" ref="AR54:AR69" si="29">SUM(AN54:AQ54)</f>
        <v>0</v>
      </c>
      <c r="AS54" s="334">
        <v>0</v>
      </c>
      <c r="AT54" s="334">
        <v>0</v>
      </c>
      <c r="AU54" s="334">
        <v>0</v>
      </c>
      <c r="AV54" s="334">
        <v>0</v>
      </c>
      <c r="AW54" s="187">
        <f t="shared" ref="AW54:AW69" si="30">SUM(AS54:AV54)</f>
        <v>0</v>
      </c>
      <c r="AX54" s="334">
        <v>0</v>
      </c>
      <c r="AY54" s="334">
        <v>0</v>
      </c>
      <c r="AZ54" s="334">
        <v>0</v>
      </c>
      <c r="BA54" s="334">
        <v>0</v>
      </c>
      <c r="BB54" s="187">
        <f t="shared" ref="BB54:BB69" si="31">SUM(AX54:BA54)</f>
        <v>0</v>
      </c>
      <c r="BC54" s="334">
        <v>0</v>
      </c>
      <c r="BD54" s="334">
        <v>0</v>
      </c>
      <c r="BE54" s="334">
        <v>0</v>
      </c>
      <c r="BF54" s="334">
        <v>0</v>
      </c>
      <c r="BG54" s="187">
        <f t="shared" ref="BG54:BG69" si="32">SUM(BC54:BF54)</f>
        <v>0</v>
      </c>
      <c r="BH54" s="334">
        <v>0</v>
      </c>
      <c r="BI54" s="334">
        <v>0</v>
      </c>
      <c r="BJ54" s="334">
        <v>0</v>
      </c>
      <c r="BK54" s="334">
        <v>0</v>
      </c>
      <c r="BL54" s="187">
        <f t="shared" ref="BL54:BL69" si="33">SUM(BH54:BK54)</f>
        <v>0</v>
      </c>
      <c r="BM54" s="334">
        <v>0</v>
      </c>
      <c r="BN54" s="334">
        <v>0</v>
      </c>
      <c r="BO54" s="334">
        <v>0</v>
      </c>
      <c r="BP54" s="334">
        <v>0</v>
      </c>
      <c r="BQ54" s="187">
        <f t="shared" ref="BQ54:BQ59" si="34">SUM(BM54:BP54)</f>
        <v>0</v>
      </c>
      <c r="BR54" s="334">
        <f t="shared" ref="BR54:BU69" si="35">+J54+O54+T54+Y54+AD54+AI54+AN54+AS54+AX54+BC54+BH54+BM54</f>
        <v>116268903.94399999</v>
      </c>
      <c r="BS54" s="334">
        <f t="shared" si="35"/>
        <v>0</v>
      </c>
      <c r="BT54" s="334">
        <f t="shared" si="35"/>
        <v>0</v>
      </c>
      <c r="BU54" s="334">
        <f t="shared" si="35"/>
        <v>0</v>
      </c>
      <c r="BV54" s="189">
        <f>SUM(BR54:BU54)</f>
        <v>116268903.94399999</v>
      </c>
      <c r="BW54" s="162"/>
      <c r="BX54" s="681"/>
      <c r="BY54" s="161"/>
      <c r="BZ54" s="335"/>
      <c r="CA54" s="684"/>
    </row>
    <row r="55" spans="1:79" s="330" customFormat="1" x14ac:dyDescent="0.2">
      <c r="A55" s="329" t="s">
        <v>268</v>
      </c>
      <c r="C55" s="331"/>
      <c r="D55" s="327"/>
      <c r="E55" s="334">
        <f>50000+60000</f>
        <v>110000</v>
      </c>
      <c r="F55" s="334">
        <v>0</v>
      </c>
      <c r="G55" s="334">
        <v>0</v>
      </c>
      <c r="H55" s="334">
        <v>0</v>
      </c>
      <c r="I55" s="187">
        <f>SUM(E55:H55)</f>
        <v>110000</v>
      </c>
      <c r="J55" s="336">
        <f>21785.742</f>
        <v>21785.741999999998</v>
      </c>
      <c r="K55" s="334">
        <v>0</v>
      </c>
      <c r="L55" s="334">
        <v>0</v>
      </c>
      <c r="M55" s="334">
        <v>0</v>
      </c>
      <c r="N55" s="187">
        <f t="shared" si="24"/>
        <v>21785.741999999998</v>
      </c>
      <c r="O55" s="334">
        <v>295.52999999999997</v>
      </c>
      <c r="P55" s="334">
        <v>0</v>
      </c>
      <c r="Q55" s="334">
        <v>0</v>
      </c>
      <c r="R55" s="334">
        <v>0</v>
      </c>
      <c r="S55" s="187">
        <f t="shared" si="25"/>
        <v>295.52999999999997</v>
      </c>
      <c r="T55" s="334">
        <v>372</v>
      </c>
      <c r="U55" s="334">
        <v>0</v>
      </c>
      <c r="V55" s="334">
        <v>0</v>
      </c>
      <c r="W55" s="334">
        <v>0</v>
      </c>
      <c r="X55" s="187">
        <f t="shared" si="26"/>
        <v>372</v>
      </c>
      <c r="Y55" s="334">
        <v>93.09</v>
      </c>
      <c r="Z55" s="334">
        <v>0</v>
      </c>
      <c r="AA55" s="334">
        <v>0</v>
      </c>
      <c r="AB55" s="334">
        <v>0</v>
      </c>
      <c r="AC55" s="187">
        <f t="shared" si="27"/>
        <v>93.09</v>
      </c>
      <c r="AD55" s="334">
        <v>386.48200000000003</v>
      </c>
      <c r="AE55" s="334">
        <v>0</v>
      </c>
      <c r="AF55" s="334">
        <v>0</v>
      </c>
      <c r="AG55" s="334">
        <v>0</v>
      </c>
      <c r="AH55" s="187">
        <f t="shared" si="28"/>
        <v>386.48200000000003</v>
      </c>
      <c r="AI55" s="334">
        <v>63.134999999999998</v>
      </c>
      <c r="AJ55" s="334">
        <v>0</v>
      </c>
      <c r="AK55" s="334">
        <v>0</v>
      </c>
      <c r="AL55" s="334">
        <v>0</v>
      </c>
      <c r="AM55" s="187">
        <f t="shared" ref="AM54:AM69" si="36">SUM(AI55:AL55)</f>
        <v>63.134999999999998</v>
      </c>
      <c r="AN55" s="334">
        <v>0</v>
      </c>
      <c r="AO55" s="334">
        <v>0</v>
      </c>
      <c r="AP55" s="334">
        <v>0</v>
      </c>
      <c r="AQ55" s="334">
        <v>0</v>
      </c>
      <c r="AR55" s="187">
        <f t="shared" si="29"/>
        <v>0</v>
      </c>
      <c r="AS55" s="334">
        <v>0</v>
      </c>
      <c r="AT55" s="334">
        <v>0</v>
      </c>
      <c r="AU55" s="334">
        <v>0</v>
      </c>
      <c r="AV55" s="334">
        <v>0</v>
      </c>
      <c r="AW55" s="187">
        <f t="shared" si="30"/>
        <v>0</v>
      </c>
      <c r="AX55" s="334">
        <v>0</v>
      </c>
      <c r="AY55" s="334">
        <v>0</v>
      </c>
      <c r="AZ55" s="334">
        <v>0</v>
      </c>
      <c r="BA55" s="334">
        <v>0</v>
      </c>
      <c r="BB55" s="187">
        <f t="shared" si="31"/>
        <v>0</v>
      </c>
      <c r="BC55" s="334">
        <v>0</v>
      </c>
      <c r="BD55" s="334">
        <v>0</v>
      </c>
      <c r="BE55" s="334">
        <v>0</v>
      </c>
      <c r="BF55" s="334">
        <v>0</v>
      </c>
      <c r="BG55" s="187">
        <f t="shared" si="32"/>
        <v>0</v>
      </c>
      <c r="BH55" s="334">
        <v>0</v>
      </c>
      <c r="BI55" s="334">
        <v>0</v>
      </c>
      <c r="BJ55" s="334">
        <v>0</v>
      </c>
      <c r="BK55" s="334">
        <v>0</v>
      </c>
      <c r="BL55" s="187">
        <f t="shared" si="33"/>
        <v>0</v>
      </c>
      <c r="BM55" s="334">
        <v>0</v>
      </c>
      <c r="BN55" s="334">
        <v>0</v>
      </c>
      <c r="BO55" s="334">
        <v>0</v>
      </c>
      <c r="BP55" s="334">
        <v>0</v>
      </c>
      <c r="BQ55" s="187">
        <f t="shared" si="34"/>
        <v>0</v>
      </c>
      <c r="BR55" s="334">
        <f t="shared" si="35"/>
        <v>22995.978999999996</v>
      </c>
      <c r="BS55" s="334">
        <f t="shared" si="35"/>
        <v>0</v>
      </c>
      <c r="BT55" s="334">
        <f t="shared" si="35"/>
        <v>0</v>
      </c>
      <c r="BU55" s="334">
        <f t="shared" si="35"/>
        <v>0</v>
      </c>
      <c r="BV55" s="189">
        <f>SUM(BR55:BU55)</f>
        <v>22995.978999999996</v>
      </c>
      <c r="BW55" s="162"/>
      <c r="BX55" s="681"/>
      <c r="BY55" s="161"/>
      <c r="BZ55" s="335"/>
      <c r="CA55" s="684"/>
    </row>
    <row r="56" spans="1:79" x14ac:dyDescent="0.2">
      <c r="A56" s="303" t="s">
        <v>269</v>
      </c>
      <c r="B56" s="325"/>
      <c r="C56" s="281"/>
      <c r="D56" s="320"/>
      <c r="E56" s="337">
        <v>0</v>
      </c>
      <c r="F56" s="334">
        <v>538471528</v>
      </c>
      <c r="G56" s="337">
        <v>0</v>
      </c>
      <c r="H56" s="337">
        <v>0</v>
      </c>
      <c r="I56" s="157">
        <f t="shared" si="19"/>
        <v>538471528</v>
      </c>
      <c r="J56" s="338">
        <v>0</v>
      </c>
      <c r="K56" s="337">
        <v>44872627</v>
      </c>
      <c r="L56" s="337">
        <v>0</v>
      </c>
      <c r="M56" s="337">
        <v>0</v>
      </c>
      <c r="N56" s="157">
        <f t="shared" si="24"/>
        <v>44872627</v>
      </c>
      <c r="O56" s="337">
        <v>0</v>
      </c>
      <c r="P56" s="337">
        <v>44872627</v>
      </c>
      <c r="Q56" s="337">
        <v>0</v>
      </c>
      <c r="R56" s="337">
        <v>0</v>
      </c>
      <c r="S56" s="157">
        <f t="shared" si="25"/>
        <v>44872627</v>
      </c>
      <c r="T56" s="337">
        <v>0</v>
      </c>
      <c r="U56" s="337">
        <v>44872627</v>
      </c>
      <c r="V56" s="337">
        <v>0</v>
      </c>
      <c r="W56" s="337">
        <v>0</v>
      </c>
      <c r="X56" s="157">
        <f t="shared" si="26"/>
        <v>44872627</v>
      </c>
      <c r="Y56" s="337">
        <v>0</v>
      </c>
      <c r="Z56" s="337">
        <v>44872627</v>
      </c>
      <c r="AA56" s="337">
        <v>0</v>
      </c>
      <c r="AB56" s="337">
        <v>0</v>
      </c>
      <c r="AC56" s="157">
        <f t="shared" si="27"/>
        <v>44872627</v>
      </c>
      <c r="AD56" s="337">
        <v>0</v>
      </c>
      <c r="AE56" s="337">
        <v>44872627</v>
      </c>
      <c r="AF56" s="337">
        <v>0</v>
      </c>
      <c r="AG56" s="337">
        <v>0</v>
      </c>
      <c r="AH56" s="157">
        <f t="shared" si="28"/>
        <v>44872627</v>
      </c>
      <c r="AI56" s="337">
        <v>0</v>
      </c>
      <c r="AJ56" s="337">
        <v>44872627</v>
      </c>
      <c r="AK56" s="337">
        <v>0</v>
      </c>
      <c r="AL56" s="337">
        <v>0</v>
      </c>
      <c r="AM56" s="157">
        <f t="shared" si="36"/>
        <v>44872627</v>
      </c>
      <c r="AN56" s="337">
        <v>0</v>
      </c>
      <c r="AO56" s="337">
        <v>0</v>
      </c>
      <c r="AP56" s="337">
        <v>0</v>
      </c>
      <c r="AQ56" s="337">
        <v>0</v>
      </c>
      <c r="AR56" s="157">
        <f t="shared" si="29"/>
        <v>0</v>
      </c>
      <c r="AS56" s="337">
        <v>0</v>
      </c>
      <c r="AT56" s="337">
        <v>0</v>
      </c>
      <c r="AU56" s="337">
        <v>0</v>
      </c>
      <c r="AV56" s="337">
        <v>0</v>
      </c>
      <c r="AW56" s="157">
        <f t="shared" si="30"/>
        <v>0</v>
      </c>
      <c r="AX56" s="337">
        <v>0</v>
      </c>
      <c r="AY56" s="337">
        <v>0</v>
      </c>
      <c r="AZ56" s="337">
        <v>0</v>
      </c>
      <c r="BA56" s="337">
        <v>0</v>
      </c>
      <c r="BB56" s="157">
        <f t="shared" si="31"/>
        <v>0</v>
      </c>
      <c r="BC56" s="337">
        <v>0</v>
      </c>
      <c r="BD56" s="337">
        <v>0</v>
      </c>
      <c r="BE56" s="337">
        <v>0</v>
      </c>
      <c r="BF56" s="337">
        <v>0</v>
      </c>
      <c r="BG56" s="157">
        <f t="shared" si="32"/>
        <v>0</v>
      </c>
      <c r="BH56" s="337">
        <v>0</v>
      </c>
      <c r="BI56" s="337">
        <v>0</v>
      </c>
      <c r="BJ56" s="337">
        <v>0</v>
      </c>
      <c r="BK56" s="337">
        <v>0</v>
      </c>
      <c r="BL56" s="157">
        <f t="shared" si="33"/>
        <v>0</v>
      </c>
      <c r="BM56" s="337">
        <v>0</v>
      </c>
      <c r="BN56" s="337">
        <v>0</v>
      </c>
      <c r="BO56" s="337">
        <v>0</v>
      </c>
      <c r="BP56" s="337">
        <v>0</v>
      </c>
      <c r="BQ56" s="157">
        <f t="shared" si="34"/>
        <v>0</v>
      </c>
      <c r="BR56" s="337">
        <f t="shared" si="35"/>
        <v>0</v>
      </c>
      <c r="BS56" s="337">
        <f t="shared" si="35"/>
        <v>269235762</v>
      </c>
      <c r="BT56" s="337">
        <f t="shared" si="35"/>
        <v>0</v>
      </c>
      <c r="BU56" s="337">
        <f t="shared" si="35"/>
        <v>0</v>
      </c>
      <c r="BV56" s="158">
        <f>SUM(BR56:BU56)</f>
        <v>269235762</v>
      </c>
      <c r="BW56" s="129"/>
      <c r="BX56" s="681"/>
      <c r="BY56" s="161"/>
      <c r="BZ56" s="363"/>
      <c r="CA56" s="684"/>
    </row>
    <row r="57" spans="1:79" x14ac:dyDescent="0.2">
      <c r="A57" s="303" t="s">
        <v>270</v>
      </c>
      <c r="B57" s="325"/>
      <c r="C57" s="281"/>
      <c r="D57" s="323"/>
      <c r="E57" s="337">
        <v>0</v>
      </c>
      <c r="F57" s="337">
        <v>14026878</v>
      </c>
      <c r="G57" s="337">
        <v>0</v>
      </c>
      <c r="H57" s="337">
        <v>0</v>
      </c>
      <c r="I57" s="157">
        <f t="shared" si="19"/>
        <v>14026878</v>
      </c>
      <c r="J57" s="338">
        <v>0</v>
      </c>
      <c r="K57" s="337">
        <v>0</v>
      </c>
      <c r="L57" s="337">
        <v>0</v>
      </c>
      <c r="M57" s="337">
        <v>0</v>
      </c>
      <c r="N57" s="157">
        <f t="shared" si="24"/>
        <v>0</v>
      </c>
      <c r="O57" s="337">
        <v>0</v>
      </c>
      <c r="P57" s="337">
        <v>0</v>
      </c>
      <c r="Q57" s="337">
        <v>0</v>
      </c>
      <c r="R57" s="337">
        <v>0</v>
      </c>
      <c r="S57" s="157">
        <f t="shared" si="25"/>
        <v>0</v>
      </c>
      <c r="T57" s="337">
        <v>0</v>
      </c>
      <c r="U57" s="337">
        <v>0</v>
      </c>
      <c r="V57" s="337">
        <v>0</v>
      </c>
      <c r="W57" s="337">
        <v>0</v>
      </c>
      <c r="X57" s="157">
        <f t="shared" si="26"/>
        <v>0</v>
      </c>
      <c r="Y57" s="337">
        <v>0</v>
      </c>
      <c r="Z57" s="337">
        <v>0</v>
      </c>
      <c r="AA57" s="337">
        <v>0</v>
      </c>
      <c r="AB57" s="337">
        <v>0</v>
      </c>
      <c r="AC57" s="157">
        <f t="shared" si="27"/>
        <v>0</v>
      </c>
      <c r="AD57" s="337">
        <v>0</v>
      </c>
      <c r="AE57" s="337">
        <v>4675628</v>
      </c>
      <c r="AF57" s="337">
        <v>0</v>
      </c>
      <c r="AG57" s="337">
        <v>0</v>
      </c>
      <c r="AH57" s="157">
        <f t="shared" si="28"/>
        <v>4675628</v>
      </c>
      <c r="AI57" s="337">
        <v>0</v>
      </c>
      <c r="AJ57" s="337">
        <v>0</v>
      </c>
      <c r="AK57" s="337">
        <v>0</v>
      </c>
      <c r="AL57" s="337">
        <v>0</v>
      </c>
      <c r="AM57" s="157">
        <f t="shared" si="36"/>
        <v>0</v>
      </c>
      <c r="AN57" s="337">
        <v>0</v>
      </c>
      <c r="AO57" s="337">
        <v>0</v>
      </c>
      <c r="AP57" s="337">
        <v>0</v>
      </c>
      <c r="AQ57" s="337">
        <v>0</v>
      </c>
      <c r="AR57" s="157">
        <f t="shared" si="29"/>
        <v>0</v>
      </c>
      <c r="AS57" s="337">
        <v>0</v>
      </c>
      <c r="AT57" s="337">
        <v>0</v>
      </c>
      <c r="AU57" s="337">
        <v>0</v>
      </c>
      <c r="AV57" s="337">
        <v>0</v>
      </c>
      <c r="AW57" s="157">
        <f t="shared" si="30"/>
        <v>0</v>
      </c>
      <c r="AX57" s="337">
        <v>0</v>
      </c>
      <c r="AY57" s="337">
        <v>0</v>
      </c>
      <c r="AZ57" s="337">
        <v>0</v>
      </c>
      <c r="BA57" s="337">
        <v>0</v>
      </c>
      <c r="BB57" s="157">
        <f t="shared" si="31"/>
        <v>0</v>
      </c>
      <c r="BC57" s="337">
        <v>0</v>
      </c>
      <c r="BD57" s="337">
        <v>0</v>
      </c>
      <c r="BE57" s="337">
        <v>0</v>
      </c>
      <c r="BF57" s="337">
        <v>0</v>
      </c>
      <c r="BG57" s="157">
        <f t="shared" si="32"/>
        <v>0</v>
      </c>
      <c r="BH57" s="337">
        <v>0</v>
      </c>
      <c r="BI57" s="337">
        <v>0</v>
      </c>
      <c r="BJ57" s="337">
        <v>0</v>
      </c>
      <c r="BK57" s="337">
        <v>0</v>
      </c>
      <c r="BL57" s="157">
        <f t="shared" si="33"/>
        <v>0</v>
      </c>
      <c r="BM57" s="337">
        <v>0</v>
      </c>
      <c r="BN57" s="337">
        <v>0</v>
      </c>
      <c r="BO57" s="337">
        <v>0</v>
      </c>
      <c r="BP57" s="337">
        <v>0</v>
      </c>
      <c r="BQ57" s="157">
        <f t="shared" si="34"/>
        <v>0</v>
      </c>
      <c r="BR57" s="337">
        <f t="shared" si="35"/>
        <v>0</v>
      </c>
      <c r="BS57" s="337">
        <f t="shared" si="35"/>
        <v>4675628</v>
      </c>
      <c r="BT57" s="337">
        <f t="shared" si="35"/>
        <v>0</v>
      </c>
      <c r="BU57" s="337">
        <f t="shared" si="35"/>
        <v>0</v>
      </c>
      <c r="BV57" s="158">
        <f>SUM(BR57:BU57)</f>
        <v>4675628</v>
      </c>
      <c r="BW57" s="129"/>
      <c r="BX57" s="681"/>
      <c r="BY57" s="161"/>
      <c r="BZ57" s="363"/>
      <c r="CA57" s="684"/>
    </row>
    <row r="58" spans="1:79" ht="12" customHeight="1" x14ac:dyDescent="0.2">
      <c r="A58" s="303" t="s">
        <v>271</v>
      </c>
      <c r="B58" s="325"/>
      <c r="C58" s="281"/>
      <c r="D58" s="320" t="s">
        <v>116</v>
      </c>
      <c r="E58" s="337">
        <v>0</v>
      </c>
      <c r="F58" s="337">
        <v>0</v>
      </c>
      <c r="G58" s="337">
        <v>0</v>
      </c>
      <c r="H58" s="337">
        <f>-[27]original!$F$40</f>
        <v>111331</v>
      </c>
      <c r="I58" s="157">
        <f t="shared" ref="I58:I76" si="37">SUM(E58:H58)</f>
        <v>111331</v>
      </c>
      <c r="J58" s="338">
        <v>0</v>
      </c>
      <c r="K58" s="337">
        <v>0</v>
      </c>
      <c r="L58" s="337">
        <v>0</v>
      </c>
      <c r="M58" s="337">
        <f>-[28]original!$G$40</f>
        <v>18</v>
      </c>
      <c r="N58" s="157">
        <f t="shared" si="24"/>
        <v>18</v>
      </c>
      <c r="O58" s="337">
        <v>0</v>
      </c>
      <c r="P58" s="337">
        <v>0</v>
      </c>
      <c r="Q58" s="337">
        <v>0</v>
      </c>
      <c r="R58" s="337">
        <f>-[29]original!$H$40</f>
        <v>111334</v>
      </c>
      <c r="S58" s="157">
        <f>SUM(O58:R58)</f>
        <v>111334</v>
      </c>
      <c r="T58" s="337">
        <v>0</v>
      </c>
      <c r="U58" s="337">
        <v>0</v>
      </c>
      <c r="V58" s="337">
        <v>0</v>
      </c>
      <c r="W58" s="337">
        <f>-[30]original!$I$40</f>
        <v>2</v>
      </c>
      <c r="X58" s="157">
        <f t="shared" si="26"/>
        <v>2</v>
      </c>
      <c r="Y58" s="337">
        <v>0</v>
      </c>
      <c r="Z58" s="337">
        <v>0</v>
      </c>
      <c r="AA58" s="337">
        <v>0</v>
      </c>
      <c r="AB58" s="337">
        <f>-[27]original!$J$40</f>
        <v>0</v>
      </c>
      <c r="AC58" s="157">
        <f t="shared" si="27"/>
        <v>0</v>
      </c>
      <c r="AD58" s="337">
        <v>0</v>
      </c>
      <c r="AE58" s="337">
        <v>0</v>
      </c>
      <c r="AF58" s="337">
        <v>0</v>
      </c>
      <c r="AG58" s="337">
        <f>-[31]original!$K$40</f>
        <v>1</v>
      </c>
      <c r="AH58" s="157">
        <f t="shared" si="28"/>
        <v>1</v>
      </c>
      <c r="AI58" s="337">
        <v>0</v>
      </c>
      <c r="AJ58" s="337">
        <v>0</v>
      </c>
      <c r="AK58" s="337">
        <v>0</v>
      </c>
      <c r="AL58" s="337">
        <f>-[32]original!$L$40</f>
        <v>66260</v>
      </c>
      <c r="AM58" s="157">
        <f>SUM(AI58:AL58)</f>
        <v>66260</v>
      </c>
      <c r="AN58" s="337">
        <v>0</v>
      </c>
      <c r="AO58" s="337">
        <v>0</v>
      </c>
      <c r="AP58" s="337">
        <v>0</v>
      </c>
      <c r="AQ58" s="337">
        <v>0</v>
      </c>
      <c r="AR58" s="157">
        <f t="shared" si="29"/>
        <v>0</v>
      </c>
      <c r="AS58" s="337">
        <v>0</v>
      </c>
      <c r="AT58" s="337">
        <v>0</v>
      </c>
      <c r="AU58" s="337">
        <v>0</v>
      </c>
      <c r="AV58" s="337">
        <v>0</v>
      </c>
      <c r="AW58" s="157">
        <f t="shared" si="30"/>
        <v>0</v>
      </c>
      <c r="AX58" s="337">
        <v>0</v>
      </c>
      <c r="AY58" s="337">
        <v>0</v>
      </c>
      <c r="AZ58" s="337">
        <v>0</v>
      </c>
      <c r="BA58" s="337">
        <v>0</v>
      </c>
      <c r="BB58" s="157">
        <f>SUM(AX58:BA58)</f>
        <v>0</v>
      </c>
      <c r="BC58" s="337">
        <v>0</v>
      </c>
      <c r="BD58" s="337">
        <v>0</v>
      </c>
      <c r="BE58" s="337">
        <v>0</v>
      </c>
      <c r="BF58" s="337">
        <v>0</v>
      </c>
      <c r="BG58" s="157">
        <f t="shared" si="32"/>
        <v>0</v>
      </c>
      <c r="BH58" s="337">
        <v>0</v>
      </c>
      <c r="BI58" s="337">
        <v>0</v>
      </c>
      <c r="BJ58" s="337">
        <v>0</v>
      </c>
      <c r="BK58" s="337">
        <v>0</v>
      </c>
      <c r="BL58" s="157">
        <f t="shared" si="33"/>
        <v>0</v>
      </c>
      <c r="BM58" s="337">
        <v>0</v>
      </c>
      <c r="BN58" s="337">
        <v>0</v>
      </c>
      <c r="BO58" s="337">
        <v>0</v>
      </c>
      <c r="BP58" s="337">
        <v>0</v>
      </c>
      <c r="BQ58" s="157">
        <f t="shared" si="34"/>
        <v>0</v>
      </c>
      <c r="BR58" s="337">
        <f t="shared" si="35"/>
        <v>0</v>
      </c>
      <c r="BS58" s="337">
        <f t="shared" si="35"/>
        <v>0</v>
      </c>
      <c r="BT58" s="337">
        <f t="shared" si="35"/>
        <v>0</v>
      </c>
      <c r="BU58" s="337">
        <f t="shared" si="35"/>
        <v>177615</v>
      </c>
      <c r="BV58" s="158">
        <f t="shared" ref="BV58:BV65" si="38">SUM(BR58:BU58)</f>
        <v>177615</v>
      </c>
      <c r="BW58" s="129"/>
      <c r="BX58" s="681"/>
      <c r="BY58" s="161"/>
      <c r="BZ58" s="363"/>
      <c r="CA58" s="684"/>
    </row>
    <row r="59" spans="1:79" x14ac:dyDescent="0.2">
      <c r="A59" s="303" t="s">
        <v>272</v>
      </c>
      <c r="B59" s="325"/>
      <c r="C59" s="281"/>
      <c r="D59" s="320"/>
      <c r="E59" s="337">
        <v>0</v>
      </c>
      <c r="F59" s="337">
        <v>120001</v>
      </c>
      <c r="G59" s="337">
        <v>0</v>
      </c>
      <c r="H59" s="337">
        <v>0</v>
      </c>
      <c r="I59" s="157">
        <f t="shared" si="37"/>
        <v>120001</v>
      </c>
      <c r="J59" s="338">
        <v>0</v>
      </c>
      <c r="K59" s="337">
        <v>0</v>
      </c>
      <c r="L59" s="337">
        <v>0</v>
      </c>
      <c r="M59" s="337">
        <v>0</v>
      </c>
      <c r="N59" s="157">
        <f t="shared" si="24"/>
        <v>0</v>
      </c>
      <c r="O59" s="337">
        <v>0</v>
      </c>
      <c r="P59" s="337">
        <v>0</v>
      </c>
      <c r="Q59" s="337">
        <v>0</v>
      </c>
      <c r="R59" s="337">
        <v>0</v>
      </c>
      <c r="S59" s="157">
        <f t="shared" si="25"/>
        <v>0</v>
      </c>
      <c r="T59" s="337">
        <v>0</v>
      </c>
      <c r="U59" s="337">
        <v>40000</v>
      </c>
      <c r="V59" s="337">
        <v>0</v>
      </c>
      <c r="W59" s="337">
        <v>0</v>
      </c>
      <c r="X59" s="157">
        <f t="shared" si="26"/>
        <v>40000</v>
      </c>
      <c r="Y59" s="337">
        <v>0</v>
      </c>
      <c r="Z59" s="337">
        <v>0</v>
      </c>
      <c r="AA59" s="337">
        <v>0</v>
      </c>
      <c r="AB59" s="337">
        <v>0</v>
      </c>
      <c r="AC59" s="157">
        <f t="shared" si="27"/>
        <v>0</v>
      </c>
      <c r="AD59" s="337">
        <v>0</v>
      </c>
      <c r="AE59" s="337">
        <v>0</v>
      </c>
      <c r="AF59" s="337">
        <v>0</v>
      </c>
      <c r="AG59" s="337">
        <v>0</v>
      </c>
      <c r="AH59" s="157">
        <f t="shared" si="28"/>
        <v>0</v>
      </c>
      <c r="AI59" s="337">
        <v>0</v>
      </c>
      <c r="AJ59" s="337">
        <v>30000</v>
      </c>
      <c r="AK59" s="337">
        <v>0</v>
      </c>
      <c r="AL59" s="337">
        <v>0</v>
      </c>
      <c r="AM59" s="157">
        <f t="shared" si="36"/>
        <v>30000</v>
      </c>
      <c r="AN59" s="337">
        <v>0</v>
      </c>
      <c r="AO59" s="337">
        <v>0</v>
      </c>
      <c r="AP59" s="337">
        <v>0</v>
      </c>
      <c r="AQ59" s="337">
        <v>0</v>
      </c>
      <c r="AR59" s="157">
        <f t="shared" si="29"/>
        <v>0</v>
      </c>
      <c r="AS59" s="337">
        <v>0</v>
      </c>
      <c r="AT59" s="337">
        <v>0</v>
      </c>
      <c r="AU59" s="337">
        <v>0</v>
      </c>
      <c r="AV59" s="337">
        <v>0</v>
      </c>
      <c r="AW59" s="157">
        <f t="shared" si="30"/>
        <v>0</v>
      </c>
      <c r="AX59" s="337">
        <v>0</v>
      </c>
      <c r="AY59" s="337">
        <v>0</v>
      </c>
      <c r="AZ59" s="337">
        <v>0</v>
      </c>
      <c r="BA59" s="337">
        <v>0</v>
      </c>
      <c r="BB59" s="157">
        <f t="shared" si="31"/>
        <v>0</v>
      </c>
      <c r="BC59" s="337">
        <v>0</v>
      </c>
      <c r="BD59" s="337">
        <v>0</v>
      </c>
      <c r="BE59" s="337">
        <v>0</v>
      </c>
      <c r="BF59" s="337">
        <v>0</v>
      </c>
      <c r="BG59" s="157">
        <f t="shared" si="32"/>
        <v>0</v>
      </c>
      <c r="BH59" s="337">
        <v>0</v>
      </c>
      <c r="BI59" s="337">
        <v>0</v>
      </c>
      <c r="BJ59" s="337">
        <v>0</v>
      </c>
      <c r="BK59" s="337">
        <v>0</v>
      </c>
      <c r="BL59" s="157">
        <f t="shared" si="33"/>
        <v>0</v>
      </c>
      <c r="BM59" s="337">
        <v>0</v>
      </c>
      <c r="BN59" s="337">
        <v>0</v>
      </c>
      <c r="BO59" s="337">
        <v>0</v>
      </c>
      <c r="BP59" s="337">
        <v>0</v>
      </c>
      <c r="BQ59" s="157">
        <f t="shared" si="34"/>
        <v>0</v>
      </c>
      <c r="BR59" s="337">
        <f t="shared" si="35"/>
        <v>0</v>
      </c>
      <c r="BS59" s="337">
        <f t="shared" si="35"/>
        <v>70000</v>
      </c>
      <c r="BT59" s="337">
        <f t="shared" si="35"/>
        <v>0</v>
      </c>
      <c r="BU59" s="337">
        <f t="shared" si="35"/>
        <v>0</v>
      </c>
      <c r="BV59" s="158">
        <f t="shared" si="38"/>
        <v>70000</v>
      </c>
      <c r="BW59" s="129"/>
      <c r="BX59" s="681"/>
      <c r="BY59" s="161"/>
      <c r="BZ59" s="363"/>
      <c r="CA59" s="684"/>
    </row>
    <row r="60" spans="1:79" x14ac:dyDescent="0.2">
      <c r="A60" s="303" t="s">
        <v>273</v>
      </c>
      <c r="B60" s="325"/>
      <c r="C60" s="281"/>
      <c r="D60" s="320"/>
      <c r="E60" s="337"/>
      <c r="F60" s="337"/>
      <c r="G60" s="337"/>
      <c r="H60" s="337"/>
      <c r="I60" s="157"/>
      <c r="J60" s="337"/>
      <c r="K60" s="337"/>
      <c r="L60" s="337"/>
      <c r="M60" s="337"/>
      <c r="N60" s="161"/>
      <c r="O60" s="337"/>
      <c r="P60" s="337"/>
      <c r="Q60" s="337"/>
      <c r="R60" s="337"/>
      <c r="S60" s="157"/>
      <c r="T60" s="337"/>
      <c r="U60" s="337"/>
      <c r="V60" s="337"/>
      <c r="W60" s="337"/>
      <c r="X60" s="157"/>
      <c r="Y60" s="337"/>
      <c r="Z60" s="337"/>
      <c r="AA60" s="337"/>
      <c r="AB60" s="337"/>
      <c r="AC60" s="161"/>
      <c r="AD60" s="337"/>
      <c r="AE60" s="337"/>
      <c r="AF60" s="337"/>
      <c r="AG60" s="337"/>
      <c r="AH60" s="157"/>
      <c r="AI60" s="337"/>
      <c r="AJ60" s="337"/>
      <c r="AK60" s="337"/>
      <c r="AL60" s="337"/>
      <c r="AM60" s="157"/>
      <c r="AN60" s="337"/>
      <c r="AO60" s="337"/>
      <c r="AP60" s="337"/>
      <c r="AQ60" s="337"/>
      <c r="AR60" s="161"/>
      <c r="AS60" s="337"/>
      <c r="AT60" s="337"/>
      <c r="AU60" s="337"/>
      <c r="AV60" s="337"/>
      <c r="AW60" s="161"/>
      <c r="AX60" s="337"/>
      <c r="AY60" s="337"/>
      <c r="AZ60" s="337"/>
      <c r="BA60" s="337"/>
      <c r="BB60" s="161"/>
      <c r="BC60" s="337"/>
      <c r="BD60" s="337"/>
      <c r="BE60" s="337"/>
      <c r="BF60" s="337"/>
      <c r="BG60" s="161"/>
      <c r="BH60" s="337"/>
      <c r="BI60" s="337"/>
      <c r="BJ60" s="337"/>
      <c r="BK60" s="337"/>
      <c r="BL60" s="161"/>
      <c r="BM60" s="337"/>
      <c r="BN60" s="337"/>
      <c r="BO60" s="337"/>
      <c r="BP60" s="337"/>
      <c r="BQ60" s="161"/>
      <c r="BR60" s="337"/>
      <c r="BS60" s="337"/>
      <c r="BT60" s="337"/>
      <c r="BU60" s="337"/>
      <c r="BV60" s="158"/>
      <c r="BW60" s="129"/>
      <c r="BX60" s="681"/>
      <c r="BY60" s="161"/>
      <c r="BZ60" s="363"/>
      <c r="CA60" s="684"/>
    </row>
    <row r="61" spans="1:79" x14ac:dyDescent="0.2">
      <c r="A61" s="339" t="s">
        <v>274</v>
      </c>
      <c r="B61" s="325"/>
      <c r="C61" s="281"/>
      <c r="D61" s="320" t="s">
        <v>119</v>
      </c>
      <c r="E61" s="337">
        <f>SUM(E62:E63)</f>
        <v>0</v>
      </c>
      <c r="F61" s="337">
        <f t="shared" ref="F61:AL61" si="39">SUM(F62:F63)</f>
        <v>0</v>
      </c>
      <c r="G61" s="337">
        <f t="shared" si="39"/>
        <v>0</v>
      </c>
      <c r="H61" s="337">
        <f t="shared" si="39"/>
        <v>0</v>
      </c>
      <c r="I61" s="157">
        <f t="shared" si="39"/>
        <v>0</v>
      </c>
      <c r="J61" s="337">
        <f t="shared" si="39"/>
        <v>0</v>
      </c>
      <c r="K61" s="337">
        <f t="shared" si="39"/>
        <v>0</v>
      </c>
      <c r="L61" s="337">
        <f t="shared" si="39"/>
        <v>0</v>
      </c>
      <c r="M61" s="337">
        <f t="shared" si="39"/>
        <v>0</v>
      </c>
      <c r="N61" s="337">
        <f t="shared" si="39"/>
        <v>0</v>
      </c>
      <c r="O61" s="337">
        <f t="shared" si="39"/>
        <v>0</v>
      </c>
      <c r="P61" s="337">
        <f t="shared" si="39"/>
        <v>0</v>
      </c>
      <c r="Q61" s="337">
        <f t="shared" si="39"/>
        <v>0</v>
      </c>
      <c r="R61" s="337">
        <f t="shared" si="39"/>
        <v>0</v>
      </c>
      <c r="S61" s="157">
        <f t="shared" si="39"/>
        <v>0</v>
      </c>
      <c r="T61" s="337">
        <f t="shared" si="39"/>
        <v>0</v>
      </c>
      <c r="U61" s="337">
        <f t="shared" si="39"/>
        <v>0</v>
      </c>
      <c r="V61" s="337">
        <f t="shared" si="39"/>
        <v>0</v>
      </c>
      <c r="W61" s="337">
        <f t="shared" si="39"/>
        <v>0</v>
      </c>
      <c r="X61" s="157">
        <f t="shared" si="39"/>
        <v>0</v>
      </c>
      <c r="Y61" s="337">
        <f t="shared" si="39"/>
        <v>0</v>
      </c>
      <c r="Z61" s="337">
        <f t="shared" si="39"/>
        <v>0</v>
      </c>
      <c r="AA61" s="337">
        <f t="shared" si="39"/>
        <v>0</v>
      </c>
      <c r="AB61" s="337">
        <f t="shared" si="39"/>
        <v>0</v>
      </c>
      <c r="AC61" s="337">
        <f t="shared" si="39"/>
        <v>0</v>
      </c>
      <c r="AD61" s="337">
        <f t="shared" si="39"/>
        <v>0</v>
      </c>
      <c r="AE61" s="337">
        <f t="shared" si="39"/>
        <v>0</v>
      </c>
      <c r="AF61" s="337">
        <f t="shared" si="39"/>
        <v>0</v>
      </c>
      <c r="AG61" s="337">
        <f t="shared" si="39"/>
        <v>0</v>
      </c>
      <c r="AH61" s="157">
        <f t="shared" si="39"/>
        <v>0</v>
      </c>
      <c r="AI61" s="337">
        <f t="shared" si="39"/>
        <v>0</v>
      </c>
      <c r="AJ61" s="337">
        <f t="shared" si="39"/>
        <v>0</v>
      </c>
      <c r="AK61" s="337">
        <f t="shared" si="39"/>
        <v>0</v>
      </c>
      <c r="AL61" s="337">
        <f t="shared" si="39"/>
        <v>217761</v>
      </c>
      <c r="AM61" s="157">
        <f t="shared" si="36"/>
        <v>217761</v>
      </c>
      <c r="AN61" s="337">
        <f t="shared" ref="AN61:BU61" si="40">SUM(AN62:AN63)</f>
        <v>0</v>
      </c>
      <c r="AO61" s="337">
        <f t="shared" si="40"/>
        <v>0</v>
      </c>
      <c r="AP61" s="337">
        <f t="shared" si="40"/>
        <v>0</v>
      </c>
      <c r="AQ61" s="337">
        <f t="shared" si="40"/>
        <v>0</v>
      </c>
      <c r="AR61" s="337">
        <f t="shared" si="40"/>
        <v>0</v>
      </c>
      <c r="AS61" s="337">
        <f t="shared" si="40"/>
        <v>0</v>
      </c>
      <c r="AT61" s="337">
        <f t="shared" si="40"/>
        <v>0</v>
      </c>
      <c r="AU61" s="337">
        <f t="shared" si="40"/>
        <v>0</v>
      </c>
      <c r="AV61" s="337">
        <f t="shared" si="40"/>
        <v>0</v>
      </c>
      <c r="AW61" s="337">
        <f t="shared" si="40"/>
        <v>0</v>
      </c>
      <c r="AX61" s="337">
        <f t="shared" si="40"/>
        <v>0</v>
      </c>
      <c r="AY61" s="337">
        <f t="shared" si="40"/>
        <v>0</v>
      </c>
      <c r="AZ61" s="337">
        <f t="shared" si="40"/>
        <v>0</v>
      </c>
      <c r="BA61" s="337">
        <f t="shared" si="40"/>
        <v>0</v>
      </c>
      <c r="BB61" s="337">
        <f t="shared" si="40"/>
        <v>0</v>
      </c>
      <c r="BC61" s="337">
        <f t="shared" si="40"/>
        <v>0</v>
      </c>
      <c r="BD61" s="337">
        <f t="shared" si="40"/>
        <v>0</v>
      </c>
      <c r="BE61" s="337">
        <f t="shared" si="40"/>
        <v>0</v>
      </c>
      <c r="BF61" s="337">
        <f t="shared" si="40"/>
        <v>0</v>
      </c>
      <c r="BG61" s="337">
        <f t="shared" si="40"/>
        <v>0</v>
      </c>
      <c r="BH61" s="337">
        <f t="shared" si="40"/>
        <v>0</v>
      </c>
      <c r="BI61" s="337">
        <f t="shared" si="40"/>
        <v>0</v>
      </c>
      <c r="BJ61" s="337">
        <f t="shared" si="40"/>
        <v>0</v>
      </c>
      <c r="BK61" s="337">
        <f t="shared" si="40"/>
        <v>0</v>
      </c>
      <c r="BL61" s="337">
        <f t="shared" si="40"/>
        <v>0</v>
      </c>
      <c r="BM61" s="337">
        <f t="shared" si="40"/>
        <v>0</v>
      </c>
      <c r="BN61" s="337">
        <f t="shared" si="40"/>
        <v>0</v>
      </c>
      <c r="BO61" s="337">
        <f t="shared" si="40"/>
        <v>0</v>
      </c>
      <c r="BP61" s="337">
        <f t="shared" si="40"/>
        <v>0</v>
      </c>
      <c r="BQ61" s="337">
        <f t="shared" si="40"/>
        <v>0</v>
      </c>
      <c r="BR61" s="337">
        <f t="shared" si="40"/>
        <v>0</v>
      </c>
      <c r="BS61" s="337">
        <f t="shared" si="40"/>
        <v>0</v>
      </c>
      <c r="BT61" s="337">
        <f t="shared" si="40"/>
        <v>0</v>
      </c>
      <c r="BU61" s="337">
        <f t="shared" si="40"/>
        <v>217761</v>
      </c>
      <c r="BV61" s="158">
        <f t="shared" si="38"/>
        <v>217761</v>
      </c>
      <c r="BW61" s="129"/>
      <c r="BX61" s="681"/>
      <c r="BY61" s="161"/>
      <c r="BZ61" s="363"/>
      <c r="CA61" s="684"/>
    </row>
    <row r="62" spans="1:79" x14ac:dyDescent="0.2">
      <c r="A62" s="288"/>
      <c r="B62" s="325" t="s">
        <v>275</v>
      </c>
      <c r="C62" s="281"/>
      <c r="E62" s="334">
        <v>0</v>
      </c>
      <c r="F62" s="334">
        <v>0</v>
      </c>
      <c r="G62" s="334">
        <v>0</v>
      </c>
      <c r="H62" s="334">
        <v>0</v>
      </c>
      <c r="I62" s="187">
        <f t="shared" si="37"/>
        <v>0</v>
      </c>
      <c r="J62" s="336"/>
      <c r="K62" s="334"/>
      <c r="L62" s="334"/>
      <c r="M62" s="334"/>
      <c r="N62" s="187">
        <v>0</v>
      </c>
      <c r="O62" s="334"/>
      <c r="P62" s="334"/>
      <c r="Q62" s="334"/>
      <c r="R62" s="334"/>
      <c r="S62" s="187">
        <v>0</v>
      </c>
      <c r="T62" s="334"/>
      <c r="U62" s="334"/>
      <c r="V62" s="334"/>
      <c r="W62" s="334"/>
      <c r="X62" s="187">
        <v>0</v>
      </c>
      <c r="Y62" s="334"/>
      <c r="Z62" s="334"/>
      <c r="AA62" s="334"/>
      <c r="AB62" s="334"/>
      <c r="AC62" s="187">
        <v>0</v>
      </c>
      <c r="AD62" s="334"/>
      <c r="AE62" s="334"/>
      <c r="AF62" s="334"/>
      <c r="AG62" s="334"/>
      <c r="AH62" s="187">
        <v>0</v>
      </c>
      <c r="AI62" s="334">
        <v>0</v>
      </c>
      <c r="AJ62" s="334">
        <v>0</v>
      </c>
      <c r="AK62" s="334">
        <v>0</v>
      </c>
      <c r="AL62" s="334">
        <v>143395</v>
      </c>
      <c r="AM62" s="187">
        <f t="shared" si="36"/>
        <v>143395</v>
      </c>
      <c r="AN62" s="334"/>
      <c r="AO62" s="334"/>
      <c r="AP62" s="334"/>
      <c r="AQ62" s="334"/>
      <c r="AR62" s="187"/>
      <c r="AS62" s="334"/>
      <c r="AT62" s="334"/>
      <c r="AU62" s="334"/>
      <c r="AV62" s="334"/>
      <c r="AW62" s="187"/>
      <c r="AX62" s="334"/>
      <c r="AY62" s="334"/>
      <c r="AZ62" s="334"/>
      <c r="BA62" s="334"/>
      <c r="BB62" s="187"/>
      <c r="BC62" s="334"/>
      <c r="BD62" s="334"/>
      <c r="BE62" s="334"/>
      <c r="BF62" s="334"/>
      <c r="BG62" s="187"/>
      <c r="BH62" s="334"/>
      <c r="BI62" s="334"/>
      <c r="BJ62" s="334"/>
      <c r="BK62" s="334"/>
      <c r="BL62" s="187"/>
      <c r="BM62" s="334"/>
      <c r="BN62" s="334"/>
      <c r="BO62" s="334"/>
      <c r="BP62" s="334"/>
      <c r="BQ62" s="187"/>
      <c r="BR62" s="334">
        <f t="shared" si="35"/>
        <v>0</v>
      </c>
      <c r="BS62" s="334">
        <f t="shared" si="35"/>
        <v>0</v>
      </c>
      <c r="BT62" s="334">
        <f t="shared" si="35"/>
        <v>0</v>
      </c>
      <c r="BU62" s="334">
        <f>+M62+R62+W62+AB62+AG62+AL62+AQ62+AV62+BA62+BF62+BK62+BP62</f>
        <v>143395</v>
      </c>
      <c r="BV62" s="158">
        <f t="shared" si="38"/>
        <v>143395</v>
      </c>
      <c r="BW62" s="129"/>
      <c r="BX62" s="681"/>
      <c r="BY62" s="161"/>
      <c r="BZ62" s="363"/>
      <c r="CA62" s="684"/>
    </row>
    <row r="63" spans="1:79" x14ac:dyDescent="0.2">
      <c r="A63" s="303"/>
      <c r="B63" s="281" t="s">
        <v>276</v>
      </c>
      <c r="C63" s="281"/>
      <c r="D63" s="320"/>
      <c r="E63" s="334">
        <v>0</v>
      </c>
      <c r="F63" s="334">
        <v>0</v>
      </c>
      <c r="G63" s="334">
        <v>0</v>
      </c>
      <c r="H63" s="334">
        <v>0</v>
      </c>
      <c r="I63" s="187">
        <f t="shared" si="37"/>
        <v>0</v>
      </c>
      <c r="J63" s="336"/>
      <c r="K63" s="334"/>
      <c r="L63" s="334"/>
      <c r="M63" s="334"/>
      <c r="N63" s="187">
        <v>0</v>
      </c>
      <c r="O63" s="334"/>
      <c r="P63" s="334"/>
      <c r="Q63" s="334"/>
      <c r="R63" s="334"/>
      <c r="S63" s="187">
        <v>0</v>
      </c>
      <c r="T63" s="334"/>
      <c r="U63" s="334"/>
      <c r="V63" s="334"/>
      <c r="W63" s="334"/>
      <c r="X63" s="187">
        <v>0</v>
      </c>
      <c r="Y63" s="334"/>
      <c r="Z63" s="334"/>
      <c r="AA63" s="334"/>
      <c r="AB63" s="334"/>
      <c r="AC63" s="187">
        <v>0</v>
      </c>
      <c r="AD63" s="334"/>
      <c r="AE63" s="334"/>
      <c r="AF63" s="334"/>
      <c r="AG63" s="334"/>
      <c r="AH63" s="187">
        <v>0</v>
      </c>
      <c r="AI63" s="334">
        <v>0</v>
      </c>
      <c r="AJ63" s="334">
        <v>0</v>
      </c>
      <c r="AK63" s="334">
        <v>0</v>
      </c>
      <c r="AL63" s="334">
        <v>74366</v>
      </c>
      <c r="AM63" s="187">
        <f t="shared" si="36"/>
        <v>74366</v>
      </c>
      <c r="AN63" s="334"/>
      <c r="AO63" s="334"/>
      <c r="AP63" s="334"/>
      <c r="AQ63" s="334"/>
      <c r="AR63" s="187"/>
      <c r="AS63" s="334"/>
      <c r="AT63" s="334"/>
      <c r="AU63" s="334"/>
      <c r="AV63" s="334"/>
      <c r="AW63" s="187"/>
      <c r="AX63" s="334"/>
      <c r="AY63" s="334"/>
      <c r="AZ63" s="334"/>
      <c r="BA63" s="334"/>
      <c r="BB63" s="187"/>
      <c r="BC63" s="334"/>
      <c r="BD63" s="334"/>
      <c r="BE63" s="334"/>
      <c r="BF63" s="334"/>
      <c r="BG63" s="187"/>
      <c r="BH63" s="334"/>
      <c r="BI63" s="334"/>
      <c r="BJ63" s="334"/>
      <c r="BK63" s="334"/>
      <c r="BL63" s="187"/>
      <c r="BM63" s="334"/>
      <c r="BN63" s="334"/>
      <c r="BO63" s="334"/>
      <c r="BP63" s="334"/>
      <c r="BQ63" s="187"/>
      <c r="BR63" s="334">
        <f t="shared" si="35"/>
        <v>0</v>
      </c>
      <c r="BS63" s="334">
        <f t="shared" si="35"/>
        <v>0</v>
      </c>
      <c r="BT63" s="334">
        <f t="shared" si="35"/>
        <v>0</v>
      </c>
      <c r="BU63" s="334">
        <f>+M63+R63+W63+AB63+AG63+AL63+AQ63+AV63+BA63+BF63+BK63+BP63</f>
        <v>74366</v>
      </c>
      <c r="BV63" s="158">
        <f t="shared" si="38"/>
        <v>74366</v>
      </c>
      <c r="BW63" s="129"/>
      <c r="BX63" s="681"/>
      <c r="BY63" s="161"/>
      <c r="BZ63" s="363"/>
      <c r="CA63" s="684"/>
    </row>
    <row r="64" spans="1:79" x14ac:dyDescent="0.2">
      <c r="A64" s="339" t="s">
        <v>277</v>
      </c>
      <c r="B64" s="325"/>
      <c r="C64" s="281"/>
      <c r="D64" s="320" t="s">
        <v>156</v>
      </c>
      <c r="E64" s="337">
        <f>SUM(E65)</f>
        <v>0</v>
      </c>
      <c r="F64" s="337">
        <f t="shared" ref="F64:BQ64" si="41">SUM(F65)</f>
        <v>0</v>
      </c>
      <c r="G64" s="337">
        <f t="shared" si="41"/>
        <v>0</v>
      </c>
      <c r="H64" s="337">
        <f t="shared" si="41"/>
        <v>0</v>
      </c>
      <c r="I64" s="187">
        <f t="shared" si="41"/>
        <v>0</v>
      </c>
      <c r="J64" s="337">
        <f t="shared" si="41"/>
        <v>0</v>
      </c>
      <c r="K64" s="337">
        <f t="shared" si="41"/>
        <v>0</v>
      </c>
      <c r="L64" s="337">
        <f t="shared" si="41"/>
        <v>0</v>
      </c>
      <c r="M64" s="337">
        <f t="shared" si="41"/>
        <v>0</v>
      </c>
      <c r="N64" s="337">
        <f t="shared" si="41"/>
        <v>0</v>
      </c>
      <c r="O64" s="337">
        <f t="shared" si="41"/>
        <v>0</v>
      </c>
      <c r="P64" s="337">
        <f t="shared" si="41"/>
        <v>0</v>
      </c>
      <c r="Q64" s="337">
        <f t="shared" si="41"/>
        <v>0</v>
      </c>
      <c r="R64" s="337">
        <f t="shared" si="41"/>
        <v>0</v>
      </c>
      <c r="S64" s="187">
        <f t="shared" si="41"/>
        <v>0</v>
      </c>
      <c r="T64" s="337">
        <f t="shared" si="41"/>
        <v>0</v>
      </c>
      <c r="U64" s="337">
        <f t="shared" si="41"/>
        <v>0</v>
      </c>
      <c r="V64" s="337">
        <f t="shared" si="41"/>
        <v>0</v>
      </c>
      <c r="W64" s="337">
        <f t="shared" si="41"/>
        <v>0</v>
      </c>
      <c r="X64" s="337">
        <f t="shared" si="41"/>
        <v>0</v>
      </c>
      <c r="Y64" s="337">
        <f t="shared" si="41"/>
        <v>0</v>
      </c>
      <c r="Z64" s="337">
        <f t="shared" si="41"/>
        <v>0</v>
      </c>
      <c r="AA64" s="337">
        <f t="shared" si="41"/>
        <v>0</v>
      </c>
      <c r="AB64" s="337">
        <f t="shared" si="41"/>
        <v>0</v>
      </c>
      <c r="AC64" s="187">
        <f t="shared" si="41"/>
        <v>0</v>
      </c>
      <c r="AD64" s="337">
        <f t="shared" si="41"/>
        <v>0</v>
      </c>
      <c r="AE64" s="337">
        <f t="shared" si="41"/>
        <v>0</v>
      </c>
      <c r="AF64" s="337">
        <f t="shared" si="41"/>
        <v>0</v>
      </c>
      <c r="AG64" s="337">
        <f t="shared" si="41"/>
        <v>0</v>
      </c>
      <c r="AH64" s="337">
        <f t="shared" si="41"/>
        <v>0</v>
      </c>
      <c r="AI64" s="337">
        <f t="shared" si="41"/>
        <v>0</v>
      </c>
      <c r="AJ64" s="337">
        <f t="shared" si="41"/>
        <v>0</v>
      </c>
      <c r="AK64" s="337">
        <f t="shared" si="41"/>
        <v>0</v>
      </c>
      <c r="AL64" s="337">
        <f t="shared" si="41"/>
        <v>6571667</v>
      </c>
      <c r="AM64" s="187">
        <f t="shared" si="41"/>
        <v>6571667</v>
      </c>
      <c r="AN64" s="337">
        <f t="shared" si="41"/>
        <v>0</v>
      </c>
      <c r="AO64" s="337">
        <f t="shared" si="41"/>
        <v>0</v>
      </c>
      <c r="AP64" s="337">
        <f t="shared" si="41"/>
        <v>0</v>
      </c>
      <c r="AQ64" s="337">
        <f t="shared" si="41"/>
        <v>0</v>
      </c>
      <c r="AR64" s="337">
        <f t="shared" si="41"/>
        <v>0</v>
      </c>
      <c r="AS64" s="337">
        <f t="shared" si="41"/>
        <v>0</v>
      </c>
      <c r="AT64" s="337">
        <f t="shared" si="41"/>
        <v>0</v>
      </c>
      <c r="AU64" s="337">
        <f t="shared" si="41"/>
        <v>0</v>
      </c>
      <c r="AV64" s="337">
        <f t="shared" si="41"/>
        <v>0</v>
      </c>
      <c r="AW64" s="337">
        <f t="shared" si="41"/>
        <v>0</v>
      </c>
      <c r="AX64" s="337">
        <f t="shared" si="41"/>
        <v>0</v>
      </c>
      <c r="AY64" s="337">
        <f t="shared" si="41"/>
        <v>0</v>
      </c>
      <c r="AZ64" s="337">
        <f t="shared" si="41"/>
        <v>0</v>
      </c>
      <c r="BA64" s="337">
        <f t="shared" si="41"/>
        <v>0</v>
      </c>
      <c r="BB64" s="337">
        <f t="shared" si="41"/>
        <v>0</v>
      </c>
      <c r="BC64" s="337">
        <f t="shared" si="41"/>
        <v>0</v>
      </c>
      <c r="BD64" s="337">
        <f t="shared" si="41"/>
        <v>0</v>
      </c>
      <c r="BE64" s="337">
        <f t="shared" si="41"/>
        <v>0</v>
      </c>
      <c r="BF64" s="337">
        <f t="shared" si="41"/>
        <v>0</v>
      </c>
      <c r="BG64" s="337">
        <f t="shared" si="41"/>
        <v>0</v>
      </c>
      <c r="BH64" s="337">
        <f t="shared" si="41"/>
        <v>0</v>
      </c>
      <c r="BI64" s="337">
        <f t="shared" si="41"/>
        <v>0</v>
      </c>
      <c r="BJ64" s="337">
        <f t="shared" si="41"/>
        <v>0</v>
      </c>
      <c r="BK64" s="337">
        <f t="shared" si="41"/>
        <v>0</v>
      </c>
      <c r="BL64" s="337">
        <f t="shared" si="41"/>
        <v>0</v>
      </c>
      <c r="BM64" s="337">
        <f t="shared" si="41"/>
        <v>0</v>
      </c>
      <c r="BN64" s="337">
        <f t="shared" si="41"/>
        <v>0</v>
      </c>
      <c r="BO64" s="337">
        <f t="shared" si="41"/>
        <v>0</v>
      </c>
      <c r="BP64" s="337">
        <f t="shared" si="41"/>
        <v>0</v>
      </c>
      <c r="BQ64" s="337">
        <f t="shared" si="41"/>
        <v>0</v>
      </c>
      <c r="BR64" s="334">
        <f>SUM(BR65)</f>
        <v>0</v>
      </c>
      <c r="BS64" s="334">
        <f>SUM(BS65)</f>
        <v>0</v>
      </c>
      <c r="BT64" s="334">
        <f>SUM(BT65)</f>
        <v>0</v>
      </c>
      <c r="BU64" s="334">
        <f>SUM(BU65)</f>
        <v>6571667</v>
      </c>
      <c r="BV64" s="158">
        <f t="shared" si="38"/>
        <v>6571667</v>
      </c>
      <c r="BW64" s="129"/>
      <c r="BX64" s="681"/>
      <c r="BY64" s="161"/>
      <c r="BZ64" s="363"/>
      <c r="CA64" s="684"/>
    </row>
    <row r="65" spans="1:79" x14ac:dyDescent="0.2">
      <c r="A65" s="303"/>
      <c r="B65" s="325" t="s">
        <v>278</v>
      </c>
      <c r="C65" s="281"/>
      <c r="D65" s="320"/>
      <c r="E65" s="337">
        <v>0</v>
      </c>
      <c r="F65" s="337">
        <v>0</v>
      </c>
      <c r="G65" s="337">
        <v>0</v>
      </c>
      <c r="H65" s="337">
        <v>0</v>
      </c>
      <c r="I65" s="157">
        <f t="shared" si="37"/>
        <v>0</v>
      </c>
      <c r="J65" s="338"/>
      <c r="K65" s="337"/>
      <c r="L65" s="337"/>
      <c r="M65" s="337"/>
      <c r="N65" s="157">
        <v>0</v>
      </c>
      <c r="O65" s="337"/>
      <c r="P65" s="337"/>
      <c r="Q65" s="337"/>
      <c r="R65" s="337"/>
      <c r="S65" s="157">
        <v>0</v>
      </c>
      <c r="T65" s="337"/>
      <c r="U65" s="337"/>
      <c r="V65" s="337"/>
      <c r="W65" s="337"/>
      <c r="X65" s="157">
        <v>0</v>
      </c>
      <c r="Y65" s="337"/>
      <c r="Z65" s="337"/>
      <c r="AA65" s="337"/>
      <c r="AB65" s="337"/>
      <c r="AC65" s="157">
        <v>0</v>
      </c>
      <c r="AD65" s="337"/>
      <c r="AE65" s="337"/>
      <c r="AF65" s="337"/>
      <c r="AG65" s="337"/>
      <c r="AH65" s="157">
        <v>0</v>
      </c>
      <c r="AI65" s="337">
        <v>0</v>
      </c>
      <c r="AJ65" s="337">
        <v>0</v>
      </c>
      <c r="AK65" s="337">
        <v>0</v>
      </c>
      <c r="AL65" s="337">
        <v>6571667</v>
      </c>
      <c r="AM65" s="157">
        <f t="shared" si="36"/>
        <v>6571667</v>
      </c>
      <c r="AN65" s="337"/>
      <c r="AO65" s="337"/>
      <c r="AP65" s="337"/>
      <c r="AQ65" s="337"/>
      <c r="AR65" s="157"/>
      <c r="AS65" s="337"/>
      <c r="AT65" s="337"/>
      <c r="AU65" s="337"/>
      <c r="AV65" s="337"/>
      <c r="AW65" s="157"/>
      <c r="AX65" s="337"/>
      <c r="AY65" s="337"/>
      <c r="AZ65" s="337"/>
      <c r="BA65" s="337"/>
      <c r="BB65" s="157"/>
      <c r="BC65" s="337"/>
      <c r="BD65" s="337"/>
      <c r="BE65" s="337"/>
      <c r="BF65" s="337"/>
      <c r="BG65" s="157"/>
      <c r="BH65" s="337"/>
      <c r="BI65" s="337"/>
      <c r="BJ65" s="337"/>
      <c r="BK65" s="337"/>
      <c r="BL65" s="157"/>
      <c r="BM65" s="337"/>
      <c r="BN65" s="337"/>
      <c r="BO65" s="337"/>
      <c r="BP65" s="337"/>
      <c r="BQ65" s="157"/>
      <c r="BR65" s="334">
        <f>+J65+O65+T65+Y65+AD65+AI65+AN65+AS65+AX65+BC65+BH65+BM65</f>
        <v>0</v>
      </c>
      <c r="BS65" s="334">
        <f>+K65+P65+U65+Z65+AE65+AJ65+AO65+AT65+AY65+BD65+BI65+BN65</f>
        <v>0</v>
      </c>
      <c r="BT65" s="334">
        <f>+L65+Q65+V65+AA65+AF65+AK65+AP65+AU65+AZ65+BE65+BJ65+BO65</f>
        <v>0</v>
      </c>
      <c r="BU65" s="334">
        <f>+M65+R65+W65+AB65+AG65+AL65+AQ65+AV65+BA65+BF65+BK65+BP65</f>
        <v>6571667</v>
      </c>
      <c r="BV65" s="158">
        <f t="shared" si="38"/>
        <v>6571667</v>
      </c>
      <c r="BW65" s="129"/>
      <c r="BX65" s="681"/>
      <c r="BY65" s="161"/>
      <c r="BZ65" s="363"/>
      <c r="CA65" s="684"/>
    </row>
    <row r="66" spans="1:79" x14ac:dyDescent="0.2">
      <c r="A66" s="303" t="s">
        <v>279</v>
      </c>
      <c r="B66" s="325"/>
      <c r="C66" s="325"/>
      <c r="D66" s="323"/>
      <c r="E66" s="337">
        <v>0</v>
      </c>
      <c r="F66" s="337">
        <v>11290516</v>
      </c>
      <c r="G66" s="337">
        <v>0</v>
      </c>
      <c r="H66" s="337">
        <v>0</v>
      </c>
      <c r="I66" s="157">
        <f t="shared" si="37"/>
        <v>11290516</v>
      </c>
      <c r="J66" s="338">
        <v>0</v>
      </c>
      <c r="K66" s="337">
        <v>1745798</v>
      </c>
      <c r="L66" s="337">
        <v>0</v>
      </c>
      <c r="M66" s="337">
        <v>0</v>
      </c>
      <c r="N66" s="157">
        <f t="shared" si="24"/>
        <v>1745798</v>
      </c>
      <c r="O66" s="337">
        <v>0</v>
      </c>
      <c r="P66" s="337">
        <v>1447692</v>
      </c>
      <c r="Q66" s="337">
        <v>0</v>
      </c>
      <c r="R66" s="337">
        <v>0</v>
      </c>
      <c r="S66" s="157">
        <f t="shared" si="25"/>
        <v>1447692</v>
      </c>
      <c r="T66" s="337">
        <v>0</v>
      </c>
      <c r="U66" s="337">
        <v>1118322</v>
      </c>
      <c r="V66" s="337">
        <v>0</v>
      </c>
      <c r="W66" s="337">
        <v>0</v>
      </c>
      <c r="X66" s="157">
        <f t="shared" si="26"/>
        <v>1118322</v>
      </c>
      <c r="Y66" s="337">
        <v>0</v>
      </c>
      <c r="Z66" s="337">
        <v>54518</v>
      </c>
      <c r="AA66" s="337">
        <v>0</v>
      </c>
      <c r="AB66" s="337">
        <v>0</v>
      </c>
      <c r="AC66" s="157">
        <f t="shared" si="27"/>
        <v>54518</v>
      </c>
      <c r="AD66" s="337">
        <v>0</v>
      </c>
      <c r="AE66" s="337">
        <v>92107</v>
      </c>
      <c r="AF66" s="337">
        <v>0</v>
      </c>
      <c r="AG66" s="337">
        <v>0</v>
      </c>
      <c r="AH66" s="157">
        <f>SUM(AD66:AG66)</f>
        <v>92107</v>
      </c>
      <c r="AI66" s="337">
        <v>0</v>
      </c>
      <c r="AJ66" s="337">
        <v>75474</v>
      </c>
      <c r="AK66" s="337">
        <v>0</v>
      </c>
      <c r="AL66" s="337">
        <v>0</v>
      </c>
      <c r="AM66" s="157">
        <f t="shared" si="36"/>
        <v>75474</v>
      </c>
      <c r="AN66" s="337">
        <v>0</v>
      </c>
      <c r="AO66" s="337">
        <v>0</v>
      </c>
      <c r="AP66" s="337">
        <v>0</v>
      </c>
      <c r="AQ66" s="337">
        <v>0</v>
      </c>
      <c r="AR66" s="157">
        <f t="shared" si="29"/>
        <v>0</v>
      </c>
      <c r="AS66" s="337">
        <v>0</v>
      </c>
      <c r="AT66" s="337">
        <v>0</v>
      </c>
      <c r="AU66" s="337">
        <v>0</v>
      </c>
      <c r="AV66" s="337">
        <v>0</v>
      </c>
      <c r="AW66" s="157">
        <f t="shared" si="30"/>
        <v>0</v>
      </c>
      <c r="AX66" s="337">
        <v>0</v>
      </c>
      <c r="AY66" s="337">
        <v>0</v>
      </c>
      <c r="AZ66" s="337">
        <v>0</v>
      </c>
      <c r="BA66" s="337">
        <v>0</v>
      </c>
      <c r="BB66" s="157">
        <f t="shared" si="31"/>
        <v>0</v>
      </c>
      <c r="BC66" s="337">
        <v>0</v>
      </c>
      <c r="BD66" s="337">
        <v>0</v>
      </c>
      <c r="BE66" s="337">
        <v>0</v>
      </c>
      <c r="BF66" s="337">
        <v>0</v>
      </c>
      <c r="BG66" s="157">
        <f t="shared" si="32"/>
        <v>0</v>
      </c>
      <c r="BH66" s="337">
        <v>0</v>
      </c>
      <c r="BI66" s="337">
        <v>0</v>
      </c>
      <c r="BJ66" s="337">
        <v>0</v>
      </c>
      <c r="BK66" s="337">
        <v>0</v>
      </c>
      <c r="BL66" s="157">
        <f t="shared" si="33"/>
        <v>0</v>
      </c>
      <c r="BM66" s="337">
        <v>0</v>
      </c>
      <c r="BN66" s="337">
        <v>0</v>
      </c>
      <c r="BO66" s="337">
        <v>0</v>
      </c>
      <c r="BP66" s="337">
        <v>0</v>
      </c>
      <c r="BQ66" s="157">
        <f>SUM(BM66:BP66)</f>
        <v>0</v>
      </c>
      <c r="BR66" s="337">
        <f t="shared" ref="BR66:BT69" si="42">+J66+O66+T66+Y66+AD66+AI66+AN66+AS66+AX66+BC66+BH66+BM66</f>
        <v>0</v>
      </c>
      <c r="BS66" s="337">
        <f t="shared" si="42"/>
        <v>4533911</v>
      </c>
      <c r="BT66" s="337">
        <f t="shared" si="42"/>
        <v>0</v>
      </c>
      <c r="BU66" s="337">
        <f t="shared" si="35"/>
        <v>0</v>
      </c>
      <c r="BV66" s="158">
        <f>SUM(BR66:BU66)</f>
        <v>4533911</v>
      </c>
      <c r="BW66" s="129"/>
      <c r="BX66" s="681"/>
      <c r="BY66" s="161"/>
      <c r="BZ66" s="363"/>
      <c r="CA66" s="684"/>
    </row>
    <row r="67" spans="1:79" x14ac:dyDescent="0.2">
      <c r="A67" s="303" t="s">
        <v>280</v>
      </c>
      <c r="B67" s="325"/>
      <c r="C67" s="281"/>
      <c r="D67" s="323"/>
      <c r="E67" s="337">
        <v>2472086</v>
      </c>
      <c r="F67" s="337">
        <v>78141</v>
      </c>
      <c r="G67" s="337">
        <v>0</v>
      </c>
      <c r="H67" s="337">
        <v>0</v>
      </c>
      <c r="I67" s="157">
        <f t="shared" si="37"/>
        <v>2550227</v>
      </c>
      <c r="J67" s="338">
        <v>183244</v>
      </c>
      <c r="K67" s="337">
        <v>2943</v>
      </c>
      <c r="L67" s="337">
        <v>0</v>
      </c>
      <c r="M67" s="337">
        <v>0</v>
      </c>
      <c r="N67" s="157">
        <f t="shared" si="24"/>
        <v>186187</v>
      </c>
      <c r="O67" s="337">
        <v>176962</v>
      </c>
      <c r="P67" s="337">
        <v>2357</v>
      </c>
      <c r="Q67" s="337">
        <v>0</v>
      </c>
      <c r="R67" s="337">
        <v>0</v>
      </c>
      <c r="S67" s="157">
        <f t="shared" si="25"/>
        <v>179319</v>
      </c>
      <c r="T67" s="337">
        <v>170758</v>
      </c>
      <c r="U67" s="337">
        <v>3390</v>
      </c>
      <c r="V67" s="337">
        <v>0</v>
      </c>
      <c r="W67" s="337">
        <v>0</v>
      </c>
      <c r="X67" s="157">
        <f t="shared" si="26"/>
        <v>174148</v>
      </c>
      <c r="Y67" s="337">
        <v>172932</v>
      </c>
      <c r="Z67" s="337">
        <v>2942</v>
      </c>
      <c r="AA67" s="337">
        <v>0</v>
      </c>
      <c r="AB67" s="337">
        <v>0</v>
      </c>
      <c r="AC67" s="157">
        <f t="shared" si="27"/>
        <v>175874</v>
      </c>
      <c r="AD67" s="337">
        <v>174882</v>
      </c>
      <c r="AE67" s="337">
        <v>1456</v>
      </c>
      <c r="AF67" s="337">
        <v>0</v>
      </c>
      <c r="AG67" s="337">
        <v>0</v>
      </c>
      <c r="AH67" s="157">
        <f>SUM(AD67:AG67)</f>
        <v>176338</v>
      </c>
      <c r="AI67" s="337">
        <v>176606</v>
      </c>
      <c r="AJ67" s="337">
        <v>5120</v>
      </c>
      <c r="AK67" s="337">
        <v>0</v>
      </c>
      <c r="AL67" s="337">
        <v>0</v>
      </c>
      <c r="AM67" s="157">
        <f t="shared" si="36"/>
        <v>181726</v>
      </c>
      <c r="AN67" s="337">
        <v>0</v>
      </c>
      <c r="AO67" s="337">
        <v>0</v>
      </c>
      <c r="AP67" s="337">
        <v>0</v>
      </c>
      <c r="AQ67" s="337">
        <v>0</v>
      </c>
      <c r="AR67" s="157">
        <f t="shared" si="29"/>
        <v>0</v>
      </c>
      <c r="AS67" s="337">
        <v>0</v>
      </c>
      <c r="AT67" s="337">
        <v>0</v>
      </c>
      <c r="AU67" s="337">
        <v>0</v>
      </c>
      <c r="AV67" s="337">
        <v>0</v>
      </c>
      <c r="AW67" s="157">
        <f t="shared" si="30"/>
        <v>0</v>
      </c>
      <c r="AX67" s="337">
        <v>0</v>
      </c>
      <c r="AY67" s="337">
        <v>0</v>
      </c>
      <c r="AZ67" s="337">
        <v>0</v>
      </c>
      <c r="BA67" s="337">
        <v>0</v>
      </c>
      <c r="BB67" s="157">
        <f t="shared" si="31"/>
        <v>0</v>
      </c>
      <c r="BC67" s="337">
        <v>0</v>
      </c>
      <c r="BD67" s="337">
        <v>0</v>
      </c>
      <c r="BE67" s="337">
        <v>0</v>
      </c>
      <c r="BF67" s="337">
        <v>0</v>
      </c>
      <c r="BG67" s="157">
        <f t="shared" si="32"/>
        <v>0</v>
      </c>
      <c r="BH67" s="337">
        <v>0</v>
      </c>
      <c r="BI67" s="337">
        <v>0</v>
      </c>
      <c r="BJ67" s="337">
        <v>0</v>
      </c>
      <c r="BK67" s="337">
        <v>0</v>
      </c>
      <c r="BL67" s="157">
        <f t="shared" si="33"/>
        <v>0</v>
      </c>
      <c r="BM67" s="337">
        <v>0</v>
      </c>
      <c r="BN67" s="337">
        <v>0</v>
      </c>
      <c r="BO67" s="337">
        <v>0</v>
      </c>
      <c r="BP67" s="337">
        <v>0</v>
      </c>
      <c r="BQ67" s="157">
        <f>SUM(BM67:BP67)</f>
        <v>0</v>
      </c>
      <c r="BR67" s="337">
        <f t="shared" si="42"/>
        <v>1055384</v>
      </c>
      <c r="BS67" s="337">
        <f t="shared" si="42"/>
        <v>18208</v>
      </c>
      <c r="BT67" s="337">
        <f t="shared" si="42"/>
        <v>0</v>
      </c>
      <c r="BU67" s="337">
        <f t="shared" si="35"/>
        <v>0</v>
      </c>
      <c r="BV67" s="158">
        <f>SUM(BR67:BU67)</f>
        <v>1073592</v>
      </c>
      <c r="BW67" s="129"/>
      <c r="BX67" s="681"/>
      <c r="BY67" s="161"/>
      <c r="BZ67" s="363"/>
      <c r="CA67" s="684"/>
    </row>
    <row r="68" spans="1:79" x14ac:dyDescent="0.2">
      <c r="A68" s="340" t="s">
        <v>281</v>
      </c>
      <c r="B68" s="341"/>
      <c r="C68" s="281"/>
      <c r="D68" s="323"/>
      <c r="E68" s="337">
        <v>1064218</v>
      </c>
      <c r="F68" s="337">
        <v>126719</v>
      </c>
      <c r="G68" s="337">
        <v>0</v>
      </c>
      <c r="H68" s="337">
        <v>0</v>
      </c>
      <c r="I68" s="157">
        <f t="shared" si="37"/>
        <v>1190937</v>
      </c>
      <c r="J68" s="338">
        <v>76516</v>
      </c>
      <c r="K68" s="337">
        <v>6553</v>
      </c>
      <c r="L68" s="337">
        <v>0</v>
      </c>
      <c r="M68" s="337">
        <v>0</v>
      </c>
      <c r="N68" s="157">
        <f t="shared" si="24"/>
        <v>83069</v>
      </c>
      <c r="O68" s="337">
        <v>79279</v>
      </c>
      <c r="P68" s="337">
        <v>201</v>
      </c>
      <c r="Q68" s="337">
        <v>0</v>
      </c>
      <c r="R68" s="337">
        <v>0</v>
      </c>
      <c r="S68" s="157">
        <f t="shared" si="25"/>
        <v>79480</v>
      </c>
      <c r="T68" s="337">
        <f>87302+28</f>
        <v>87330</v>
      </c>
      <c r="U68" s="337">
        <v>15499</v>
      </c>
      <c r="V68" s="337">
        <v>0</v>
      </c>
      <c r="W68" s="337">
        <v>0</v>
      </c>
      <c r="X68" s="157">
        <f t="shared" si="26"/>
        <v>102829</v>
      </c>
      <c r="Y68" s="337">
        <v>75484</v>
      </c>
      <c r="Z68" s="337">
        <v>5571</v>
      </c>
      <c r="AA68" s="337">
        <v>0</v>
      </c>
      <c r="AB68" s="337">
        <v>0</v>
      </c>
      <c r="AC68" s="157">
        <f t="shared" si="27"/>
        <v>81055</v>
      </c>
      <c r="AD68" s="337">
        <v>85469</v>
      </c>
      <c r="AE68" s="337">
        <v>10643</v>
      </c>
      <c r="AF68" s="337">
        <v>0</v>
      </c>
      <c r="AG68" s="337">
        <v>0</v>
      </c>
      <c r="AH68" s="157">
        <f>SUM(AD68:AG68)</f>
        <v>96112</v>
      </c>
      <c r="AI68" s="337">
        <v>81309</v>
      </c>
      <c r="AJ68" s="337">
        <v>3830</v>
      </c>
      <c r="AK68" s="337">
        <v>0</v>
      </c>
      <c r="AL68" s="337">
        <v>0</v>
      </c>
      <c r="AM68" s="157">
        <f t="shared" si="36"/>
        <v>85139</v>
      </c>
      <c r="AN68" s="337">
        <v>0</v>
      </c>
      <c r="AO68" s="337">
        <v>0</v>
      </c>
      <c r="AP68" s="337">
        <v>0</v>
      </c>
      <c r="AQ68" s="337">
        <v>0</v>
      </c>
      <c r="AR68" s="157">
        <f t="shared" si="29"/>
        <v>0</v>
      </c>
      <c r="AS68" s="337">
        <v>0</v>
      </c>
      <c r="AT68" s="337">
        <v>0</v>
      </c>
      <c r="AU68" s="337">
        <v>0</v>
      </c>
      <c r="AV68" s="337">
        <v>0</v>
      </c>
      <c r="AW68" s="157">
        <f t="shared" si="30"/>
        <v>0</v>
      </c>
      <c r="AX68" s="337">
        <v>0</v>
      </c>
      <c r="AY68" s="337">
        <v>0</v>
      </c>
      <c r="AZ68" s="337">
        <v>0</v>
      </c>
      <c r="BA68" s="337">
        <v>0</v>
      </c>
      <c r="BB68" s="157">
        <f t="shared" si="31"/>
        <v>0</v>
      </c>
      <c r="BC68" s="337">
        <v>0</v>
      </c>
      <c r="BD68" s="337">
        <v>0</v>
      </c>
      <c r="BE68" s="337">
        <v>0</v>
      </c>
      <c r="BF68" s="337">
        <v>0</v>
      </c>
      <c r="BG68" s="157">
        <f t="shared" si="32"/>
        <v>0</v>
      </c>
      <c r="BH68" s="337">
        <v>0</v>
      </c>
      <c r="BI68" s="337">
        <v>0</v>
      </c>
      <c r="BJ68" s="337">
        <v>0</v>
      </c>
      <c r="BK68" s="337">
        <v>0</v>
      </c>
      <c r="BL68" s="157">
        <f t="shared" si="33"/>
        <v>0</v>
      </c>
      <c r="BM68" s="337">
        <v>0</v>
      </c>
      <c r="BN68" s="337">
        <v>0</v>
      </c>
      <c r="BO68" s="337">
        <v>0</v>
      </c>
      <c r="BP68" s="337">
        <v>0</v>
      </c>
      <c r="BQ68" s="157">
        <f>SUM(BM68:BP68)</f>
        <v>0</v>
      </c>
      <c r="BR68" s="337">
        <f t="shared" si="42"/>
        <v>485387</v>
      </c>
      <c r="BS68" s="337">
        <f t="shared" si="42"/>
        <v>42297</v>
      </c>
      <c r="BT68" s="337">
        <f t="shared" si="42"/>
        <v>0</v>
      </c>
      <c r="BU68" s="337">
        <f t="shared" si="35"/>
        <v>0</v>
      </c>
      <c r="BV68" s="158">
        <f>SUM(BR68:BU68)</f>
        <v>527684</v>
      </c>
      <c r="BW68" s="129"/>
      <c r="BX68" s="681"/>
      <c r="BY68" s="161"/>
      <c r="BZ68" s="363"/>
      <c r="CA68" s="684"/>
    </row>
    <row r="69" spans="1:79" s="280" customFormat="1" x14ac:dyDescent="0.2">
      <c r="A69" s="342" t="s">
        <v>282</v>
      </c>
      <c r="B69" s="343"/>
      <c r="C69" s="318"/>
      <c r="D69" s="319"/>
      <c r="E69" s="337">
        <v>0</v>
      </c>
      <c r="F69" s="337">
        <v>10997</v>
      </c>
      <c r="G69" s="337">
        <v>0</v>
      </c>
      <c r="H69" s="337">
        <v>0</v>
      </c>
      <c r="I69" s="157">
        <f t="shared" si="37"/>
        <v>10997</v>
      </c>
      <c r="J69" s="338">
        <v>0</v>
      </c>
      <c r="K69" s="337">
        <v>0</v>
      </c>
      <c r="L69" s="337">
        <v>0</v>
      </c>
      <c r="M69" s="337">
        <v>0</v>
      </c>
      <c r="N69" s="157">
        <f t="shared" si="24"/>
        <v>0</v>
      </c>
      <c r="O69" s="337">
        <v>0</v>
      </c>
      <c r="P69" s="337">
        <v>0</v>
      </c>
      <c r="Q69" s="337">
        <v>0</v>
      </c>
      <c r="R69" s="337">
        <v>0</v>
      </c>
      <c r="S69" s="157">
        <f t="shared" si="25"/>
        <v>0</v>
      </c>
      <c r="T69" s="337">
        <v>0</v>
      </c>
      <c r="U69" s="337">
        <v>0</v>
      </c>
      <c r="V69" s="337">
        <v>0</v>
      </c>
      <c r="W69" s="337">
        <v>0</v>
      </c>
      <c r="X69" s="157">
        <f t="shared" si="26"/>
        <v>0</v>
      </c>
      <c r="Y69" s="337">
        <v>0</v>
      </c>
      <c r="Z69" s="337">
        <v>0</v>
      </c>
      <c r="AA69" s="337">
        <v>0</v>
      </c>
      <c r="AB69" s="337">
        <v>0</v>
      </c>
      <c r="AC69" s="157">
        <f t="shared" si="27"/>
        <v>0</v>
      </c>
      <c r="AD69" s="337">
        <v>0</v>
      </c>
      <c r="AE69" s="337">
        <v>0</v>
      </c>
      <c r="AF69" s="337">
        <v>0</v>
      </c>
      <c r="AG69" s="337">
        <v>0</v>
      </c>
      <c r="AH69" s="157">
        <f>SUM(AD69:AG69)</f>
        <v>0</v>
      </c>
      <c r="AI69" s="337">
        <v>0</v>
      </c>
      <c r="AJ69" s="337">
        <v>0</v>
      </c>
      <c r="AK69" s="337">
        <v>0</v>
      </c>
      <c r="AL69" s="337">
        <v>0</v>
      </c>
      <c r="AM69" s="157">
        <f t="shared" si="36"/>
        <v>0</v>
      </c>
      <c r="AN69" s="337">
        <v>0</v>
      </c>
      <c r="AO69" s="337">
        <v>0</v>
      </c>
      <c r="AP69" s="337">
        <v>0</v>
      </c>
      <c r="AQ69" s="337">
        <v>0</v>
      </c>
      <c r="AR69" s="157">
        <f t="shared" si="29"/>
        <v>0</v>
      </c>
      <c r="AS69" s="337">
        <v>0</v>
      </c>
      <c r="AT69" s="337">
        <v>0</v>
      </c>
      <c r="AU69" s="337">
        <v>0</v>
      </c>
      <c r="AV69" s="337">
        <v>0</v>
      </c>
      <c r="AW69" s="157">
        <f t="shared" si="30"/>
        <v>0</v>
      </c>
      <c r="AX69" s="337">
        <v>0</v>
      </c>
      <c r="AY69" s="337">
        <v>0</v>
      </c>
      <c r="AZ69" s="337">
        <v>0</v>
      </c>
      <c r="BA69" s="337">
        <v>0</v>
      </c>
      <c r="BB69" s="157">
        <f t="shared" si="31"/>
        <v>0</v>
      </c>
      <c r="BC69" s="337">
        <v>0</v>
      </c>
      <c r="BD69" s="337">
        <v>0</v>
      </c>
      <c r="BE69" s="337">
        <v>0</v>
      </c>
      <c r="BF69" s="337">
        <v>0</v>
      </c>
      <c r="BG69" s="157">
        <f t="shared" si="32"/>
        <v>0</v>
      </c>
      <c r="BH69" s="337">
        <v>0</v>
      </c>
      <c r="BI69" s="337">
        <v>0</v>
      </c>
      <c r="BJ69" s="337">
        <v>0</v>
      </c>
      <c r="BK69" s="337">
        <v>0</v>
      </c>
      <c r="BL69" s="157">
        <f t="shared" si="33"/>
        <v>0</v>
      </c>
      <c r="BM69" s="337">
        <v>0</v>
      </c>
      <c r="BN69" s="337">
        <v>0</v>
      </c>
      <c r="BO69" s="337">
        <v>0</v>
      </c>
      <c r="BP69" s="337">
        <v>0</v>
      </c>
      <c r="BQ69" s="157">
        <f>SUM(BM69:BP69)</f>
        <v>0</v>
      </c>
      <c r="BR69" s="337">
        <f t="shared" si="42"/>
        <v>0</v>
      </c>
      <c r="BS69" s="337">
        <f t="shared" si="42"/>
        <v>0</v>
      </c>
      <c r="BT69" s="337">
        <f t="shared" si="42"/>
        <v>0</v>
      </c>
      <c r="BU69" s="337">
        <f t="shared" si="35"/>
        <v>0</v>
      </c>
      <c r="BV69" s="158">
        <f>SUM(BR69:BU69)</f>
        <v>0</v>
      </c>
      <c r="BW69" s="129"/>
      <c r="BX69" s="681"/>
      <c r="BY69" s="344"/>
      <c r="BZ69" s="344"/>
    </row>
    <row r="70" spans="1:79" x14ac:dyDescent="0.2">
      <c r="A70" s="300" t="s">
        <v>283</v>
      </c>
      <c r="B70" s="304"/>
      <c r="D70" s="323"/>
      <c r="E70" s="153">
        <f t="shared" ref="E70:AH70" si="43">SUM(E51:E69)-E53</f>
        <v>240495696</v>
      </c>
      <c r="F70" s="152">
        <f t="shared" si="43"/>
        <v>564124780</v>
      </c>
      <c r="G70" s="152">
        <f t="shared" si="43"/>
        <v>0</v>
      </c>
      <c r="H70" s="152">
        <f t="shared" si="43"/>
        <v>111331</v>
      </c>
      <c r="I70" s="135">
        <f t="shared" si="43"/>
        <v>804731807</v>
      </c>
      <c r="J70" s="153">
        <f t="shared" si="43"/>
        <v>4458960.4269999983</v>
      </c>
      <c r="K70" s="152">
        <f t="shared" si="43"/>
        <v>46627921</v>
      </c>
      <c r="L70" s="152">
        <f t="shared" si="43"/>
        <v>0</v>
      </c>
      <c r="M70" s="152">
        <f t="shared" si="43"/>
        <v>18</v>
      </c>
      <c r="N70" s="135">
        <f t="shared" si="43"/>
        <v>51086899.427000001</v>
      </c>
      <c r="O70" s="152">
        <f t="shared" si="43"/>
        <v>2045938.1300000001</v>
      </c>
      <c r="P70" s="152">
        <f t="shared" si="43"/>
        <v>46322877</v>
      </c>
      <c r="Q70" s="152">
        <f t="shared" si="43"/>
        <v>0</v>
      </c>
      <c r="R70" s="152">
        <f t="shared" si="43"/>
        <v>111334</v>
      </c>
      <c r="S70" s="135">
        <f t="shared" si="43"/>
        <v>48480149.129999995</v>
      </c>
      <c r="T70" s="153">
        <f t="shared" si="43"/>
        <v>23587962</v>
      </c>
      <c r="U70" s="152">
        <f t="shared" si="43"/>
        <v>46049838</v>
      </c>
      <c r="V70" s="152">
        <f t="shared" si="43"/>
        <v>0</v>
      </c>
      <c r="W70" s="152">
        <f t="shared" si="43"/>
        <v>2</v>
      </c>
      <c r="X70" s="135">
        <f t="shared" si="43"/>
        <v>69637802</v>
      </c>
      <c r="Y70" s="153">
        <f t="shared" si="43"/>
        <v>34084402</v>
      </c>
      <c r="Z70" s="152">
        <f t="shared" si="43"/>
        <v>44935658</v>
      </c>
      <c r="AA70" s="152">
        <f t="shared" si="43"/>
        <v>0</v>
      </c>
      <c r="AB70" s="152">
        <f t="shared" si="43"/>
        <v>0</v>
      </c>
      <c r="AC70" s="135">
        <f t="shared" si="43"/>
        <v>79020060</v>
      </c>
      <c r="AD70" s="153">
        <f t="shared" si="43"/>
        <v>32891479.123</v>
      </c>
      <c r="AE70" s="152">
        <f t="shared" si="43"/>
        <v>49652461</v>
      </c>
      <c r="AF70" s="152">
        <f t="shared" si="43"/>
        <v>0</v>
      </c>
      <c r="AG70" s="152">
        <f t="shared" si="43"/>
        <v>1</v>
      </c>
      <c r="AH70" s="153">
        <f t="shared" si="43"/>
        <v>82543941.122999996</v>
      </c>
      <c r="AI70" s="153">
        <f t="shared" ref="AI70:BV70" si="44">SUM(AI51:AI69)-AI53-AI61-AI64</f>
        <v>21020357.242999993</v>
      </c>
      <c r="AJ70" s="152">
        <f t="shared" si="44"/>
        <v>44987051</v>
      </c>
      <c r="AK70" s="152">
        <f t="shared" si="44"/>
        <v>0</v>
      </c>
      <c r="AL70" s="152">
        <f t="shared" si="44"/>
        <v>6855688</v>
      </c>
      <c r="AM70" s="153">
        <f t="shared" si="44"/>
        <v>72863096.243000001</v>
      </c>
      <c r="AN70" s="153">
        <f t="shared" si="44"/>
        <v>0</v>
      </c>
      <c r="AO70" s="153">
        <f t="shared" si="44"/>
        <v>0</v>
      </c>
      <c r="AP70" s="153">
        <f t="shared" si="44"/>
        <v>0</v>
      </c>
      <c r="AQ70" s="153">
        <f t="shared" si="44"/>
        <v>0</v>
      </c>
      <c r="AR70" s="153">
        <f t="shared" si="44"/>
        <v>0</v>
      </c>
      <c r="AS70" s="153">
        <f t="shared" si="44"/>
        <v>0</v>
      </c>
      <c r="AT70" s="153">
        <f t="shared" si="44"/>
        <v>0</v>
      </c>
      <c r="AU70" s="153">
        <f t="shared" si="44"/>
        <v>0</v>
      </c>
      <c r="AV70" s="153">
        <f t="shared" si="44"/>
        <v>0</v>
      </c>
      <c r="AW70" s="153">
        <f t="shared" si="44"/>
        <v>0</v>
      </c>
      <c r="AX70" s="153">
        <f t="shared" si="44"/>
        <v>0</v>
      </c>
      <c r="AY70" s="153">
        <f t="shared" si="44"/>
        <v>0</v>
      </c>
      <c r="AZ70" s="153">
        <f t="shared" si="44"/>
        <v>0</v>
      </c>
      <c r="BA70" s="153">
        <f t="shared" si="44"/>
        <v>0</v>
      </c>
      <c r="BB70" s="153">
        <f t="shared" si="44"/>
        <v>0</v>
      </c>
      <c r="BC70" s="153">
        <f t="shared" si="44"/>
        <v>0</v>
      </c>
      <c r="BD70" s="153">
        <f t="shared" si="44"/>
        <v>0</v>
      </c>
      <c r="BE70" s="153">
        <f t="shared" si="44"/>
        <v>0</v>
      </c>
      <c r="BF70" s="153">
        <f t="shared" si="44"/>
        <v>0</v>
      </c>
      <c r="BG70" s="153">
        <f t="shared" si="44"/>
        <v>0</v>
      </c>
      <c r="BH70" s="153">
        <f t="shared" si="44"/>
        <v>0</v>
      </c>
      <c r="BI70" s="153">
        <f t="shared" si="44"/>
        <v>0</v>
      </c>
      <c r="BJ70" s="153">
        <f t="shared" si="44"/>
        <v>0</v>
      </c>
      <c r="BK70" s="153">
        <f t="shared" si="44"/>
        <v>0</v>
      </c>
      <c r="BL70" s="153">
        <f t="shared" si="44"/>
        <v>0</v>
      </c>
      <c r="BM70" s="153">
        <f t="shared" si="44"/>
        <v>0</v>
      </c>
      <c r="BN70" s="153">
        <f t="shared" si="44"/>
        <v>0</v>
      </c>
      <c r="BO70" s="153">
        <f t="shared" si="44"/>
        <v>0</v>
      </c>
      <c r="BP70" s="153">
        <f t="shared" si="44"/>
        <v>0</v>
      </c>
      <c r="BQ70" s="153">
        <f t="shared" si="44"/>
        <v>0</v>
      </c>
      <c r="BR70" s="153">
        <f t="shared" si="44"/>
        <v>118089098.92299999</v>
      </c>
      <c r="BS70" s="152">
        <f t="shared" si="44"/>
        <v>278575806</v>
      </c>
      <c r="BT70" s="152">
        <f t="shared" si="44"/>
        <v>0</v>
      </c>
      <c r="BU70" s="152">
        <f t="shared" si="44"/>
        <v>6967043</v>
      </c>
      <c r="BV70" s="134">
        <f t="shared" si="44"/>
        <v>403631947.92299998</v>
      </c>
      <c r="BW70" s="197"/>
      <c r="BX70" s="681"/>
    </row>
    <row r="71" spans="1:79" x14ac:dyDescent="0.2">
      <c r="A71" s="322" t="s">
        <v>284</v>
      </c>
      <c r="B71" s="304"/>
      <c r="D71" s="323"/>
      <c r="E71" s="161">
        <v>7021000</v>
      </c>
      <c r="F71" s="161">
        <v>0</v>
      </c>
      <c r="G71" s="161">
        <v>0</v>
      </c>
      <c r="H71" s="161">
        <v>0</v>
      </c>
      <c r="I71" s="157">
        <f t="shared" si="37"/>
        <v>7021000</v>
      </c>
      <c r="J71" s="159">
        <v>0</v>
      </c>
      <c r="K71" s="161">
        <v>0</v>
      </c>
      <c r="L71" s="161">
        <v>0</v>
      </c>
      <c r="M71" s="161">
        <v>0</v>
      </c>
      <c r="N71" s="157">
        <v>0</v>
      </c>
      <c r="O71" s="161">
        <v>0</v>
      </c>
      <c r="P71" s="161">
        <v>0</v>
      </c>
      <c r="Q71" s="161">
        <v>0</v>
      </c>
      <c r="R71" s="161">
        <v>0</v>
      </c>
      <c r="S71" s="157">
        <v>0</v>
      </c>
      <c r="T71" s="161">
        <v>0</v>
      </c>
      <c r="U71" s="161">
        <v>0</v>
      </c>
      <c r="V71" s="161">
        <v>0</v>
      </c>
      <c r="W71" s="161">
        <v>0</v>
      </c>
      <c r="X71" s="157">
        <v>0</v>
      </c>
      <c r="Y71" s="161">
        <v>0</v>
      </c>
      <c r="Z71" s="161">
        <v>0</v>
      </c>
      <c r="AA71" s="161">
        <v>0</v>
      </c>
      <c r="AB71" s="161">
        <v>0</v>
      </c>
      <c r="AC71" s="157">
        <v>0</v>
      </c>
      <c r="AD71" s="161">
        <v>0</v>
      </c>
      <c r="AE71" s="161">
        <v>0</v>
      </c>
      <c r="AF71" s="161">
        <v>0</v>
      </c>
      <c r="AG71" s="161">
        <v>0</v>
      </c>
      <c r="AH71" s="157">
        <v>0</v>
      </c>
      <c r="AI71" s="161">
        <v>0</v>
      </c>
      <c r="AJ71" s="161">
        <v>0</v>
      </c>
      <c r="AK71" s="161">
        <v>0</v>
      </c>
      <c r="AL71" s="161">
        <v>0</v>
      </c>
      <c r="AM71" s="157">
        <v>0</v>
      </c>
      <c r="AN71" s="161">
        <v>0</v>
      </c>
      <c r="AO71" s="161">
        <v>0</v>
      </c>
      <c r="AP71" s="161">
        <v>0</v>
      </c>
      <c r="AQ71" s="161">
        <v>0</v>
      </c>
      <c r="AR71" s="157">
        <v>0</v>
      </c>
      <c r="AS71" s="161">
        <v>0</v>
      </c>
      <c r="AT71" s="161">
        <v>0</v>
      </c>
      <c r="AU71" s="161">
        <v>0</v>
      </c>
      <c r="AV71" s="161">
        <v>0</v>
      </c>
      <c r="AW71" s="157">
        <v>0</v>
      </c>
      <c r="AX71" s="161">
        <v>0</v>
      </c>
      <c r="AY71" s="161">
        <v>0</v>
      </c>
      <c r="AZ71" s="161">
        <v>0</v>
      </c>
      <c r="BA71" s="161">
        <v>0</v>
      </c>
      <c r="BB71" s="157">
        <v>0</v>
      </c>
      <c r="BC71" s="161">
        <v>0</v>
      </c>
      <c r="BD71" s="161">
        <v>0</v>
      </c>
      <c r="BE71" s="161">
        <v>0</v>
      </c>
      <c r="BF71" s="161">
        <v>0</v>
      </c>
      <c r="BG71" s="157">
        <v>0</v>
      </c>
      <c r="BH71" s="161">
        <v>0</v>
      </c>
      <c r="BI71" s="161">
        <v>0</v>
      </c>
      <c r="BJ71" s="161">
        <v>0</v>
      </c>
      <c r="BK71" s="161">
        <v>0</v>
      </c>
      <c r="BL71" s="157">
        <v>0</v>
      </c>
      <c r="BM71" s="161">
        <v>0</v>
      </c>
      <c r="BN71" s="161">
        <v>0</v>
      </c>
      <c r="BO71" s="161">
        <v>0</v>
      </c>
      <c r="BP71" s="161">
        <v>0</v>
      </c>
      <c r="BQ71" s="157">
        <v>0</v>
      </c>
      <c r="BR71" s="161">
        <v>0</v>
      </c>
      <c r="BS71" s="161">
        <v>0</v>
      </c>
      <c r="BT71" s="161">
        <v>0</v>
      </c>
      <c r="BU71" s="161">
        <v>0</v>
      </c>
      <c r="BV71" s="158">
        <v>0</v>
      </c>
      <c r="BW71" s="129"/>
      <c r="BX71" s="681"/>
    </row>
    <row r="72" spans="1:79" x14ac:dyDescent="0.2">
      <c r="A72" s="322" t="s">
        <v>285</v>
      </c>
      <c r="B72" s="304"/>
      <c r="D72" s="323"/>
      <c r="E72" s="161">
        <v>23000000</v>
      </c>
      <c r="F72" s="161">
        <v>0</v>
      </c>
      <c r="G72" s="161">
        <v>0</v>
      </c>
      <c r="H72" s="161">
        <v>0</v>
      </c>
      <c r="I72" s="157">
        <f t="shared" si="37"/>
        <v>23000000</v>
      </c>
      <c r="J72" s="159">
        <v>0</v>
      </c>
      <c r="K72" s="161">
        <v>0</v>
      </c>
      <c r="L72" s="161">
        <v>0</v>
      </c>
      <c r="M72" s="161">
        <v>0</v>
      </c>
      <c r="N72" s="157">
        <f>SUM(J72:M72)</f>
        <v>0</v>
      </c>
      <c r="O72" s="161">
        <v>0</v>
      </c>
      <c r="P72" s="161">
        <v>0</v>
      </c>
      <c r="Q72" s="161">
        <v>0</v>
      </c>
      <c r="R72" s="161">
        <v>0</v>
      </c>
      <c r="S72" s="157">
        <v>0</v>
      </c>
      <c r="T72" s="161">
        <v>0</v>
      </c>
      <c r="U72" s="161">
        <v>0</v>
      </c>
      <c r="V72" s="161">
        <v>0</v>
      </c>
      <c r="W72" s="161">
        <v>0</v>
      </c>
      <c r="X72" s="157">
        <v>0</v>
      </c>
      <c r="Y72" s="161">
        <v>0</v>
      </c>
      <c r="Z72" s="161">
        <v>0</v>
      </c>
      <c r="AA72" s="161">
        <v>0</v>
      </c>
      <c r="AB72" s="161">
        <v>0</v>
      </c>
      <c r="AC72" s="157">
        <v>0</v>
      </c>
      <c r="AD72" s="161">
        <v>0</v>
      </c>
      <c r="AE72" s="161">
        <v>0</v>
      </c>
      <c r="AF72" s="161">
        <v>0</v>
      </c>
      <c r="AG72" s="161">
        <v>0</v>
      </c>
      <c r="AH72" s="157">
        <v>0</v>
      </c>
      <c r="AI72" s="161">
        <v>0</v>
      </c>
      <c r="AJ72" s="161">
        <v>0</v>
      </c>
      <c r="AK72" s="161">
        <v>0</v>
      </c>
      <c r="AL72" s="161">
        <v>0</v>
      </c>
      <c r="AM72" s="157">
        <v>0</v>
      </c>
      <c r="AN72" s="161">
        <v>0</v>
      </c>
      <c r="AO72" s="161">
        <v>0</v>
      </c>
      <c r="AP72" s="161">
        <v>0</v>
      </c>
      <c r="AQ72" s="161">
        <v>0</v>
      </c>
      <c r="AR72" s="157">
        <v>0</v>
      </c>
      <c r="AS72" s="161">
        <v>0</v>
      </c>
      <c r="AT72" s="161">
        <v>0</v>
      </c>
      <c r="AU72" s="161">
        <v>0</v>
      </c>
      <c r="AV72" s="161">
        <v>0</v>
      </c>
      <c r="AW72" s="157">
        <v>0</v>
      </c>
      <c r="AX72" s="161"/>
      <c r="AY72" s="161"/>
      <c r="AZ72" s="161"/>
      <c r="BA72" s="161"/>
      <c r="BB72" s="157"/>
      <c r="BC72" s="161"/>
      <c r="BD72" s="161"/>
      <c r="BE72" s="161"/>
      <c r="BF72" s="161"/>
      <c r="BG72" s="157"/>
      <c r="BH72" s="161"/>
      <c r="BI72" s="161"/>
      <c r="BJ72" s="161"/>
      <c r="BK72" s="161"/>
      <c r="BL72" s="157"/>
      <c r="BM72" s="161"/>
      <c r="BN72" s="161"/>
      <c r="BO72" s="161"/>
      <c r="BP72" s="161"/>
      <c r="BQ72" s="157"/>
      <c r="BR72" s="161">
        <f>+J72+O72+T72+Y72+AD72+AI72+AN72+AS72+AX72+BC72+BH72+BM72</f>
        <v>0</v>
      </c>
      <c r="BS72" s="161">
        <f>+K72+P72+U72+Z72+AE72+AJ72+AO72+AT72+AY72+BD72+BI72+BN72</f>
        <v>0</v>
      </c>
      <c r="BT72" s="161">
        <f>+L72+Q72+V72+AA72+AF72+AK72+AP72+AU72+AZ72+BE72+BJ72+BO72</f>
        <v>0</v>
      </c>
      <c r="BU72" s="161">
        <f>+M72+R72+W72+AB72+AG72+AL72+AQ72+AV72+BA72+BF72+BK72+BP72</f>
        <v>0</v>
      </c>
      <c r="BV72" s="158">
        <f>SUM(BR72:BU72)</f>
        <v>0</v>
      </c>
      <c r="BW72" s="129"/>
      <c r="BX72" s="681"/>
    </row>
    <row r="73" spans="1:79" x14ac:dyDescent="0.2">
      <c r="A73" s="322" t="s">
        <v>286</v>
      </c>
      <c r="B73" s="304"/>
      <c r="D73" s="323"/>
      <c r="E73" s="161">
        <f>19575326</f>
        <v>19575326</v>
      </c>
      <c r="F73" s="161"/>
      <c r="G73" s="161"/>
      <c r="H73" s="161"/>
      <c r="I73" s="157">
        <f t="shared" si="37"/>
        <v>19575326</v>
      </c>
      <c r="J73" s="159"/>
      <c r="K73" s="161"/>
      <c r="L73" s="161"/>
      <c r="M73" s="161"/>
      <c r="N73" s="157">
        <v>0</v>
      </c>
      <c r="O73" s="161"/>
      <c r="P73" s="161"/>
      <c r="Q73" s="161"/>
      <c r="R73" s="161"/>
      <c r="S73" s="157">
        <v>0</v>
      </c>
      <c r="T73" s="161"/>
      <c r="U73" s="161"/>
      <c r="V73" s="161"/>
      <c r="W73" s="161"/>
      <c r="X73" s="157">
        <v>0</v>
      </c>
      <c r="Y73" s="161">
        <v>0</v>
      </c>
      <c r="Z73" s="161">
        <v>0</v>
      </c>
      <c r="AA73" s="161">
        <v>0</v>
      </c>
      <c r="AB73" s="161">
        <v>0</v>
      </c>
      <c r="AC73" s="157">
        <v>0</v>
      </c>
      <c r="AD73" s="161">
        <v>0</v>
      </c>
      <c r="AE73" s="161">
        <v>0</v>
      </c>
      <c r="AF73" s="161">
        <v>0</v>
      </c>
      <c r="AG73" s="161">
        <v>0</v>
      </c>
      <c r="AH73" s="157">
        <v>0</v>
      </c>
      <c r="AI73" s="161">
        <v>0</v>
      </c>
      <c r="AJ73" s="161">
        <v>0</v>
      </c>
      <c r="AK73" s="161">
        <v>0</v>
      </c>
      <c r="AL73" s="161">
        <v>0</v>
      </c>
      <c r="AM73" s="157">
        <v>0</v>
      </c>
      <c r="AN73" s="161"/>
      <c r="AO73" s="161"/>
      <c r="AP73" s="161"/>
      <c r="AQ73" s="161"/>
      <c r="AR73" s="157"/>
      <c r="AS73" s="161"/>
      <c r="AT73" s="161"/>
      <c r="AU73" s="161"/>
      <c r="AV73" s="161"/>
      <c r="AW73" s="157"/>
      <c r="AX73" s="161"/>
      <c r="AY73" s="161"/>
      <c r="AZ73" s="161"/>
      <c r="BA73" s="161"/>
      <c r="BB73" s="157"/>
      <c r="BC73" s="161"/>
      <c r="BD73" s="161"/>
      <c r="BE73" s="161"/>
      <c r="BF73" s="161"/>
      <c r="BG73" s="157"/>
      <c r="BH73" s="161"/>
      <c r="BI73" s="161"/>
      <c r="BJ73" s="161"/>
      <c r="BK73" s="161"/>
      <c r="BL73" s="157"/>
      <c r="BM73" s="161"/>
      <c r="BN73" s="161"/>
      <c r="BO73" s="161"/>
      <c r="BP73" s="161"/>
      <c r="BQ73" s="157"/>
      <c r="BR73" s="161">
        <v>0</v>
      </c>
      <c r="BS73" s="161">
        <v>0</v>
      </c>
      <c r="BT73" s="161">
        <v>0</v>
      </c>
      <c r="BU73" s="161">
        <v>0</v>
      </c>
      <c r="BV73" s="158">
        <f>SUM(BR73:BU73)</f>
        <v>0</v>
      </c>
      <c r="BW73" s="129"/>
      <c r="BX73" s="681"/>
    </row>
    <row r="74" spans="1:79" x14ac:dyDescent="0.2">
      <c r="A74" s="322" t="s">
        <v>287</v>
      </c>
      <c r="B74" s="304"/>
      <c r="D74" s="323"/>
      <c r="E74" s="161">
        <v>-37807000</v>
      </c>
      <c r="F74" s="161">
        <v>0</v>
      </c>
      <c r="G74" s="161">
        <v>0</v>
      </c>
      <c r="H74" s="161">
        <v>0</v>
      </c>
      <c r="I74" s="157">
        <f t="shared" si="37"/>
        <v>-37807000</v>
      </c>
      <c r="J74" s="159">
        <v>0</v>
      </c>
      <c r="K74" s="161">
        <v>0</v>
      </c>
      <c r="L74" s="161">
        <v>0</v>
      </c>
      <c r="M74" s="161">
        <v>0</v>
      </c>
      <c r="N74" s="157">
        <v>0</v>
      </c>
      <c r="O74" s="161">
        <v>0</v>
      </c>
      <c r="P74" s="161">
        <v>0</v>
      </c>
      <c r="Q74" s="161">
        <v>0</v>
      </c>
      <c r="R74" s="161">
        <v>0</v>
      </c>
      <c r="S74" s="157">
        <v>0</v>
      </c>
      <c r="T74" s="161">
        <v>0</v>
      </c>
      <c r="U74" s="161">
        <v>0</v>
      </c>
      <c r="V74" s="161">
        <v>0</v>
      </c>
      <c r="W74" s="161">
        <v>0</v>
      </c>
      <c r="X74" s="157">
        <v>0</v>
      </c>
      <c r="Y74" s="161">
        <v>0</v>
      </c>
      <c r="Z74" s="161">
        <v>0</v>
      </c>
      <c r="AA74" s="161">
        <v>0</v>
      </c>
      <c r="AB74" s="161">
        <v>0</v>
      </c>
      <c r="AC74" s="157">
        <v>0</v>
      </c>
      <c r="AD74" s="161">
        <v>0</v>
      </c>
      <c r="AE74" s="161">
        <v>0</v>
      </c>
      <c r="AF74" s="161">
        <v>0</v>
      </c>
      <c r="AG74" s="161">
        <v>0</v>
      </c>
      <c r="AH74" s="157">
        <v>0</v>
      </c>
      <c r="AI74" s="161">
        <v>0</v>
      </c>
      <c r="AJ74" s="161">
        <v>0</v>
      </c>
      <c r="AK74" s="161">
        <v>0</v>
      </c>
      <c r="AL74" s="161">
        <v>0</v>
      </c>
      <c r="AM74" s="157">
        <v>0</v>
      </c>
      <c r="AN74" s="161">
        <v>0</v>
      </c>
      <c r="AO74" s="161">
        <v>0</v>
      </c>
      <c r="AP74" s="161">
        <v>0</v>
      </c>
      <c r="AQ74" s="161">
        <v>0</v>
      </c>
      <c r="AR74" s="157">
        <v>0</v>
      </c>
      <c r="AS74" s="161">
        <v>0</v>
      </c>
      <c r="AT74" s="161">
        <v>0</v>
      </c>
      <c r="AU74" s="161">
        <v>0</v>
      </c>
      <c r="AV74" s="161">
        <v>0</v>
      </c>
      <c r="AW74" s="157">
        <v>0</v>
      </c>
      <c r="AX74" s="161"/>
      <c r="AY74" s="161"/>
      <c r="AZ74" s="161"/>
      <c r="BA74" s="161"/>
      <c r="BB74" s="157"/>
      <c r="BC74" s="161"/>
      <c r="BD74" s="161"/>
      <c r="BE74" s="161"/>
      <c r="BF74" s="161"/>
      <c r="BG74" s="157"/>
      <c r="BH74" s="161"/>
      <c r="BI74" s="161"/>
      <c r="BJ74" s="161"/>
      <c r="BK74" s="161"/>
      <c r="BL74" s="157"/>
      <c r="BM74" s="161"/>
      <c r="BN74" s="161"/>
      <c r="BO74" s="161"/>
      <c r="BP74" s="161"/>
      <c r="BQ74" s="157"/>
      <c r="BR74" s="161">
        <v>0</v>
      </c>
      <c r="BS74" s="161">
        <v>0</v>
      </c>
      <c r="BT74" s="161">
        <v>0</v>
      </c>
      <c r="BU74" s="161">
        <v>0</v>
      </c>
      <c r="BV74" s="158">
        <v>0</v>
      </c>
      <c r="BW74" s="129"/>
      <c r="BX74" s="681"/>
    </row>
    <row r="75" spans="1:79" ht="13.5" customHeight="1" x14ac:dyDescent="0.2">
      <c r="A75" s="345" t="s">
        <v>216</v>
      </c>
      <c r="B75" s="346"/>
      <c r="C75" s="346"/>
      <c r="D75" s="347"/>
      <c r="E75" s="348">
        <f>+E48+E70+E71+E72+E74</f>
        <v>495484921</v>
      </c>
      <c r="F75" s="349">
        <f>+F48+F70+F71+F72+F74</f>
        <v>1228064825</v>
      </c>
      <c r="G75" s="349">
        <f>+G48+G70+G71+G72+G74</f>
        <v>15484983</v>
      </c>
      <c r="H75" s="349">
        <f>+H48+H70+H71+H72+H74</f>
        <v>45565025</v>
      </c>
      <c r="I75" s="350">
        <f>+I48+I70+I71+I72+I73+I74</f>
        <v>1804175080</v>
      </c>
      <c r="J75" s="348">
        <f t="shared" ref="J75:BU75" si="45">+J48+J70+J71+J72+J74</f>
        <v>22081532.426999997</v>
      </c>
      <c r="K75" s="349">
        <f t="shared" si="45"/>
        <v>91841244</v>
      </c>
      <c r="L75" s="349">
        <f t="shared" si="45"/>
        <v>324568</v>
      </c>
      <c r="M75" s="349">
        <f t="shared" si="45"/>
        <v>4853</v>
      </c>
      <c r="N75" s="350">
        <f t="shared" si="45"/>
        <v>114252197.427</v>
      </c>
      <c r="O75" s="349">
        <f t="shared" si="45"/>
        <v>21313327.129999999</v>
      </c>
      <c r="P75" s="349">
        <f t="shared" si="45"/>
        <v>97185042</v>
      </c>
      <c r="Q75" s="349">
        <f t="shared" si="45"/>
        <v>861947</v>
      </c>
      <c r="R75" s="349">
        <f t="shared" si="45"/>
        <v>1115210</v>
      </c>
      <c r="S75" s="350">
        <f t="shared" si="45"/>
        <v>120475526.13</v>
      </c>
      <c r="T75" s="348">
        <f t="shared" si="45"/>
        <v>42064414</v>
      </c>
      <c r="U75" s="349">
        <f t="shared" si="45"/>
        <v>88294246</v>
      </c>
      <c r="V75" s="349">
        <f t="shared" si="45"/>
        <v>15761</v>
      </c>
      <c r="W75" s="349">
        <f t="shared" si="45"/>
        <v>475863</v>
      </c>
      <c r="X75" s="350">
        <f t="shared" si="45"/>
        <v>130850284</v>
      </c>
      <c r="Y75" s="348">
        <f t="shared" si="45"/>
        <v>52873403</v>
      </c>
      <c r="Z75" s="349">
        <f t="shared" si="45"/>
        <v>140177743</v>
      </c>
      <c r="AA75" s="349">
        <f t="shared" si="45"/>
        <v>518145</v>
      </c>
      <c r="AB75" s="349">
        <f t="shared" si="45"/>
        <v>3806670</v>
      </c>
      <c r="AC75" s="350">
        <f t="shared" si="45"/>
        <v>197375961</v>
      </c>
      <c r="AD75" s="348">
        <f t="shared" si="45"/>
        <v>52348326.122999996</v>
      </c>
      <c r="AE75" s="349">
        <f t="shared" si="45"/>
        <v>107273151</v>
      </c>
      <c r="AF75" s="349">
        <f t="shared" si="45"/>
        <v>905002</v>
      </c>
      <c r="AG75" s="349">
        <f t="shared" si="45"/>
        <v>5002463</v>
      </c>
      <c r="AH75" s="350">
        <f t="shared" si="45"/>
        <v>165528942.123</v>
      </c>
      <c r="AI75" s="348">
        <f t="shared" si="45"/>
        <v>40737320.242999993</v>
      </c>
      <c r="AJ75" s="349">
        <f t="shared" si="45"/>
        <v>97067140</v>
      </c>
      <c r="AK75" s="349">
        <f t="shared" si="45"/>
        <v>867648</v>
      </c>
      <c r="AL75" s="349">
        <f t="shared" si="45"/>
        <v>9873949</v>
      </c>
      <c r="AM75" s="350">
        <f t="shared" si="45"/>
        <v>148546057.243</v>
      </c>
      <c r="AN75" s="348">
        <f t="shared" si="45"/>
        <v>0</v>
      </c>
      <c r="AO75" s="349">
        <f t="shared" si="45"/>
        <v>0</v>
      </c>
      <c r="AP75" s="349">
        <f t="shared" si="45"/>
        <v>0</v>
      </c>
      <c r="AQ75" s="349">
        <f t="shared" si="45"/>
        <v>0</v>
      </c>
      <c r="AR75" s="350">
        <f t="shared" si="45"/>
        <v>0</v>
      </c>
      <c r="AS75" s="348">
        <f t="shared" si="45"/>
        <v>0</v>
      </c>
      <c r="AT75" s="349">
        <f t="shared" si="45"/>
        <v>0</v>
      </c>
      <c r="AU75" s="349">
        <f t="shared" si="45"/>
        <v>0</v>
      </c>
      <c r="AV75" s="349">
        <f t="shared" si="45"/>
        <v>0</v>
      </c>
      <c r="AW75" s="350">
        <f t="shared" si="45"/>
        <v>0</v>
      </c>
      <c r="AX75" s="348">
        <f t="shared" si="45"/>
        <v>0</v>
      </c>
      <c r="AY75" s="349">
        <f t="shared" si="45"/>
        <v>0</v>
      </c>
      <c r="AZ75" s="349">
        <f t="shared" si="45"/>
        <v>0</v>
      </c>
      <c r="BA75" s="349">
        <f t="shared" si="45"/>
        <v>0</v>
      </c>
      <c r="BB75" s="350">
        <f t="shared" si="45"/>
        <v>0</v>
      </c>
      <c r="BC75" s="348">
        <f t="shared" si="45"/>
        <v>0</v>
      </c>
      <c r="BD75" s="349">
        <f t="shared" si="45"/>
        <v>0</v>
      </c>
      <c r="BE75" s="349">
        <f t="shared" si="45"/>
        <v>0</v>
      </c>
      <c r="BF75" s="349">
        <f t="shared" si="45"/>
        <v>0</v>
      </c>
      <c r="BG75" s="350">
        <f t="shared" si="45"/>
        <v>0</v>
      </c>
      <c r="BH75" s="348">
        <f t="shared" si="45"/>
        <v>0</v>
      </c>
      <c r="BI75" s="349">
        <f t="shared" si="45"/>
        <v>0</v>
      </c>
      <c r="BJ75" s="349">
        <f t="shared" si="45"/>
        <v>0</v>
      </c>
      <c r="BK75" s="349">
        <f t="shared" si="45"/>
        <v>0</v>
      </c>
      <c r="BL75" s="350">
        <f t="shared" si="45"/>
        <v>0</v>
      </c>
      <c r="BM75" s="348">
        <f t="shared" si="45"/>
        <v>0</v>
      </c>
      <c r="BN75" s="349">
        <f t="shared" si="45"/>
        <v>0</v>
      </c>
      <c r="BO75" s="349">
        <f t="shared" si="45"/>
        <v>0</v>
      </c>
      <c r="BP75" s="349">
        <f t="shared" si="45"/>
        <v>0</v>
      </c>
      <c r="BQ75" s="350">
        <f t="shared" si="45"/>
        <v>0</v>
      </c>
      <c r="BR75" s="348">
        <f t="shared" si="45"/>
        <v>231418322.92299998</v>
      </c>
      <c r="BS75" s="349">
        <f t="shared" si="45"/>
        <v>621838566</v>
      </c>
      <c r="BT75" s="349">
        <f t="shared" si="45"/>
        <v>3493071</v>
      </c>
      <c r="BU75" s="349">
        <f t="shared" si="45"/>
        <v>20279008</v>
      </c>
      <c r="BV75" s="351">
        <f>+BV48+BV70+BV71+BV72+BV74</f>
        <v>877028967.92299998</v>
      </c>
      <c r="BW75" s="129"/>
      <c r="BX75" s="681"/>
    </row>
    <row r="76" spans="1:79" ht="13.5" customHeight="1" x14ac:dyDescent="0.2">
      <c r="A76" s="322" t="s">
        <v>288</v>
      </c>
      <c r="B76" s="280"/>
      <c r="D76" s="320"/>
      <c r="E76" s="338">
        <v>5000000</v>
      </c>
      <c r="F76" s="337">
        <v>0</v>
      </c>
      <c r="G76" s="337">
        <v>0</v>
      </c>
      <c r="H76" s="352">
        <v>0</v>
      </c>
      <c r="I76" s="156">
        <f t="shared" si="37"/>
        <v>5000000</v>
      </c>
      <c r="J76" s="338">
        <v>0</v>
      </c>
      <c r="K76" s="337">
        <v>0</v>
      </c>
      <c r="L76" s="337">
        <v>0</v>
      </c>
      <c r="M76" s="352">
        <v>0</v>
      </c>
      <c r="N76" s="157">
        <v>0</v>
      </c>
      <c r="O76" s="337">
        <v>0</v>
      </c>
      <c r="P76" s="337">
        <v>0</v>
      </c>
      <c r="Q76" s="337">
        <v>0</v>
      </c>
      <c r="R76" s="352">
        <v>0</v>
      </c>
      <c r="S76" s="156">
        <v>0</v>
      </c>
      <c r="T76" s="338">
        <v>0</v>
      </c>
      <c r="U76" s="337">
        <v>0</v>
      </c>
      <c r="V76" s="337">
        <v>0</v>
      </c>
      <c r="W76" s="352">
        <v>0</v>
      </c>
      <c r="X76" s="156">
        <v>0</v>
      </c>
      <c r="Y76" s="338">
        <v>0</v>
      </c>
      <c r="Z76" s="337">
        <v>0</v>
      </c>
      <c r="AA76" s="337">
        <v>0</v>
      </c>
      <c r="AB76" s="337">
        <v>0</v>
      </c>
      <c r="AC76" s="250">
        <f>SUM(Y76:AB76)</f>
        <v>0</v>
      </c>
      <c r="AD76" s="338">
        <v>0</v>
      </c>
      <c r="AE76" s="337">
        <v>0</v>
      </c>
      <c r="AF76" s="337">
        <v>0</v>
      </c>
      <c r="AG76" s="352">
        <v>0</v>
      </c>
      <c r="AH76" s="156">
        <f>SUM(AD76:AG76)</f>
        <v>0</v>
      </c>
      <c r="AI76" s="338">
        <v>0</v>
      </c>
      <c r="AJ76" s="337">
        <v>0</v>
      </c>
      <c r="AK76" s="337">
        <v>0</v>
      </c>
      <c r="AL76" s="352">
        <v>0</v>
      </c>
      <c r="AM76" s="156">
        <f>SUM(AI76:AL76)</f>
        <v>0</v>
      </c>
      <c r="AN76" s="338">
        <v>0</v>
      </c>
      <c r="AO76" s="337">
        <v>0</v>
      </c>
      <c r="AP76" s="337">
        <v>0</v>
      </c>
      <c r="AQ76" s="352">
        <v>0</v>
      </c>
      <c r="AR76" s="156">
        <f>SUM(AN76:AQ76)</f>
        <v>0</v>
      </c>
      <c r="AS76" s="338">
        <v>0</v>
      </c>
      <c r="AT76" s="337">
        <v>0</v>
      </c>
      <c r="AU76" s="337">
        <v>0</v>
      </c>
      <c r="AV76" s="352">
        <v>0</v>
      </c>
      <c r="AW76" s="156">
        <f>SUM(AS76:AV76)</f>
        <v>0</v>
      </c>
      <c r="AX76" s="338">
        <v>0</v>
      </c>
      <c r="AY76" s="337">
        <v>0</v>
      </c>
      <c r="AZ76" s="337">
        <v>0</v>
      </c>
      <c r="BA76" s="352">
        <v>0</v>
      </c>
      <c r="BB76" s="156">
        <f>SUM(AX76:BA76)</f>
        <v>0</v>
      </c>
      <c r="BC76" s="338">
        <v>0</v>
      </c>
      <c r="BD76" s="337">
        <v>0</v>
      </c>
      <c r="BE76" s="337">
        <v>0</v>
      </c>
      <c r="BF76" s="352">
        <v>0</v>
      </c>
      <c r="BG76" s="156">
        <f>SUM(BC76:BF76)</f>
        <v>0</v>
      </c>
      <c r="BH76" s="338">
        <v>0</v>
      </c>
      <c r="BI76" s="337">
        <v>0</v>
      </c>
      <c r="BJ76" s="337">
        <v>0</v>
      </c>
      <c r="BK76" s="352">
        <v>0</v>
      </c>
      <c r="BL76" s="156">
        <f>SUM(BH76:BK76)</f>
        <v>0</v>
      </c>
      <c r="BM76" s="338">
        <v>0</v>
      </c>
      <c r="BN76" s="337">
        <v>0</v>
      </c>
      <c r="BO76" s="337">
        <v>0</v>
      </c>
      <c r="BP76" s="352">
        <v>0</v>
      </c>
      <c r="BQ76" s="156">
        <f>SUM(BM76:BP76)</f>
        <v>0</v>
      </c>
      <c r="BR76" s="338">
        <v>0</v>
      </c>
      <c r="BS76" s="337">
        <v>0</v>
      </c>
      <c r="BT76" s="337">
        <v>0</v>
      </c>
      <c r="BU76" s="352">
        <v>0</v>
      </c>
      <c r="BV76" s="158">
        <f>SUM(BR76:BU76)</f>
        <v>0</v>
      </c>
      <c r="BW76" s="129"/>
      <c r="BX76" s="681"/>
    </row>
    <row r="77" spans="1:79" ht="13.5" hidden="1" customHeight="1" x14ac:dyDescent="0.2">
      <c r="A77" s="322" t="s">
        <v>289</v>
      </c>
      <c r="B77" s="280"/>
      <c r="D77" s="323"/>
      <c r="E77" s="337">
        <v>0</v>
      </c>
      <c r="F77" s="337">
        <v>0</v>
      </c>
      <c r="G77" s="337">
        <v>0</v>
      </c>
      <c r="H77" s="337">
        <v>0</v>
      </c>
      <c r="I77" s="157">
        <v>0</v>
      </c>
      <c r="J77" s="338">
        <v>0</v>
      </c>
      <c r="K77" s="337">
        <v>0</v>
      </c>
      <c r="L77" s="337">
        <v>0</v>
      </c>
      <c r="M77" s="337">
        <v>0</v>
      </c>
      <c r="N77" s="157">
        <v>0</v>
      </c>
      <c r="O77" s="337">
        <v>0</v>
      </c>
      <c r="P77" s="337">
        <v>0</v>
      </c>
      <c r="Q77" s="337">
        <v>0</v>
      </c>
      <c r="R77" s="337">
        <v>0</v>
      </c>
      <c r="S77" s="157">
        <v>0</v>
      </c>
      <c r="T77" s="337">
        <v>0</v>
      </c>
      <c r="U77" s="337">
        <v>0</v>
      </c>
      <c r="V77" s="337">
        <v>0</v>
      </c>
      <c r="W77" s="337">
        <v>0</v>
      </c>
      <c r="X77" s="157">
        <v>0</v>
      </c>
      <c r="Y77" s="337">
        <v>0</v>
      </c>
      <c r="Z77" s="337">
        <v>0</v>
      </c>
      <c r="AA77" s="337">
        <v>0</v>
      </c>
      <c r="AB77" s="337">
        <v>0</v>
      </c>
      <c r="AC77" s="157">
        <f>SUM(Y77:AB77)</f>
        <v>0</v>
      </c>
      <c r="AD77" s="337">
        <v>0</v>
      </c>
      <c r="AE77" s="337">
        <v>0</v>
      </c>
      <c r="AF77" s="337">
        <v>0</v>
      </c>
      <c r="AG77" s="337">
        <v>0</v>
      </c>
      <c r="AH77" s="157">
        <f>SUM(AD77:AG77)</f>
        <v>0</v>
      </c>
      <c r="AI77" s="337">
        <v>0</v>
      </c>
      <c r="AJ77" s="337">
        <v>0</v>
      </c>
      <c r="AK77" s="337">
        <v>0</v>
      </c>
      <c r="AL77" s="337">
        <v>0</v>
      </c>
      <c r="AM77" s="157">
        <f>SUM(AI77:AL77)</f>
        <v>0</v>
      </c>
      <c r="AN77" s="337">
        <v>0</v>
      </c>
      <c r="AO77" s="337">
        <v>0</v>
      </c>
      <c r="AP77" s="337">
        <v>0</v>
      </c>
      <c r="AQ77" s="337">
        <v>0</v>
      </c>
      <c r="AR77" s="157">
        <f>SUM(AN77:AQ77)</f>
        <v>0</v>
      </c>
      <c r="AS77" s="337">
        <v>0</v>
      </c>
      <c r="AT77" s="337">
        <v>0</v>
      </c>
      <c r="AU77" s="337">
        <v>0</v>
      </c>
      <c r="AV77" s="337">
        <v>0</v>
      </c>
      <c r="AW77" s="157">
        <f>SUM(AS77:AV77)</f>
        <v>0</v>
      </c>
      <c r="AX77" s="337">
        <v>0</v>
      </c>
      <c r="AY77" s="337">
        <v>0</v>
      </c>
      <c r="AZ77" s="337">
        <v>0</v>
      </c>
      <c r="BA77" s="337">
        <v>0</v>
      </c>
      <c r="BB77" s="157">
        <f>SUM(AX77:BA77)</f>
        <v>0</v>
      </c>
      <c r="BC77" s="337">
        <v>0</v>
      </c>
      <c r="BD77" s="337">
        <v>0</v>
      </c>
      <c r="BE77" s="337">
        <v>0</v>
      </c>
      <c r="BF77" s="337">
        <v>0</v>
      </c>
      <c r="BG77" s="157">
        <f>SUM(BC77:BF77)</f>
        <v>0</v>
      </c>
      <c r="BH77" s="337">
        <v>0</v>
      </c>
      <c r="BI77" s="337">
        <v>0</v>
      </c>
      <c r="BJ77" s="337">
        <v>0</v>
      </c>
      <c r="BK77" s="337">
        <v>0</v>
      </c>
      <c r="BL77" s="157">
        <f>SUM(BH77:BK77)</f>
        <v>0</v>
      </c>
      <c r="BM77" s="337">
        <v>0</v>
      </c>
      <c r="BN77" s="337">
        <v>0</v>
      </c>
      <c r="BO77" s="337">
        <v>0</v>
      </c>
      <c r="BP77" s="337">
        <v>0</v>
      </c>
      <c r="BQ77" s="157">
        <f>SUM(BM77:BP77)</f>
        <v>0</v>
      </c>
      <c r="BR77" s="337">
        <v>0</v>
      </c>
      <c r="BS77" s="337">
        <v>0</v>
      </c>
      <c r="BT77" s="337">
        <v>0</v>
      </c>
      <c r="BU77" s="337">
        <v>0</v>
      </c>
      <c r="BV77" s="158">
        <f>SUM(BR77:BU77)</f>
        <v>0</v>
      </c>
      <c r="BW77" s="129"/>
      <c r="BX77" s="681"/>
    </row>
    <row r="78" spans="1:79" ht="13.5" hidden="1" customHeight="1" x14ac:dyDescent="0.2">
      <c r="A78" s="322"/>
      <c r="B78" s="280"/>
      <c r="D78" s="323"/>
      <c r="E78" s="337">
        <v>0</v>
      </c>
      <c r="F78" s="337">
        <v>0</v>
      </c>
      <c r="G78" s="337">
        <v>0</v>
      </c>
      <c r="H78" s="337">
        <v>0</v>
      </c>
      <c r="I78" s="157">
        <v>0</v>
      </c>
      <c r="J78" s="338">
        <v>0</v>
      </c>
      <c r="K78" s="337">
        <v>0</v>
      </c>
      <c r="L78" s="337">
        <v>0</v>
      </c>
      <c r="M78" s="337">
        <v>0</v>
      </c>
      <c r="N78" s="157">
        <v>0</v>
      </c>
      <c r="O78" s="337">
        <v>0</v>
      </c>
      <c r="P78" s="337">
        <v>0</v>
      </c>
      <c r="Q78" s="337">
        <v>0</v>
      </c>
      <c r="R78" s="337">
        <v>0</v>
      </c>
      <c r="S78" s="157">
        <v>0</v>
      </c>
      <c r="T78" s="337">
        <v>0</v>
      </c>
      <c r="U78" s="337">
        <v>0</v>
      </c>
      <c r="V78" s="337">
        <v>0</v>
      </c>
      <c r="W78" s="337">
        <v>0</v>
      </c>
      <c r="X78" s="157">
        <v>0</v>
      </c>
      <c r="Y78" s="337">
        <v>0</v>
      </c>
      <c r="Z78" s="337">
        <v>0</v>
      </c>
      <c r="AA78" s="337">
        <v>0</v>
      </c>
      <c r="AB78" s="337">
        <v>0</v>
      </c>
      <c r="AC78" s="269">
        <f>SUM(Y78:AB78)</f>
        <v>0</v>
      </c>
      <c r="AD78" s="337">
        <v>0</v>
      </c>
      <c r="AE78" s="337">
        <v>0</v>
      </c>
      <c r="AF78" s="337">
        <v>0</v>
      </c>
      <c r="AG78" s="337">
        <v>0</v>
      </c>
      <c r="AH78" s="157">
        <f>SUM(AD78:AG78)</f>
        <v>0</v>
      </c>
      <c r="AI78" s="337">
        <v>0</v>
      </c>
      <c r="AJ78" s="337">
        <v>0</v>
      </c>
      <c r="AK78" s="337">
        <v>0</v>
      </c>
      <c r="AL78" s="337">
        <v>0</v>
      </c>
      <c r="AM78" s="157">
        <f>SUM(AI78:AL78)</f>
        <v>0</v>
      </c>
      <c r="AN78" s="337">
        <v>0</v>
      </c>
      <c r="AO78" s="337">
        <v>0</v>
      </c>
      <c r="AP78" s="337">
        <v>0</v>
      </c>
      <c r="AQ78" s="337">
        <v>0</v>
      </c>
      <c r="AR78" s="157">
        <f>SUM(AN78:AQ78)</f>
        <v>0</v>
      </c>
      <c r="AS78" s="337">
        <v>0</v>
      </c>
      <c r="AT78" s="337">
        <v>0</v>
      </c>
      <c r="AU78" s="337">
        <v>0</v>
      </c>
      <c r="AV78" s="337">
        <v>0</v>
      </c>
      <c r="AW78" s="157">
        <f>SUM(AS78:AV78)</f>
        <v>0</v>
      </c>
      <c r="AX78" s="337">
        <v>0</v>
      </c>
      <c r="AY78" s="337">
        <v>0</v>
      </c>
      <c r="AZ78" s="337">
        <v>0</v>
      </c>
      <c r="BA78" s="337">
        <v>0</v>
      </c>
      <c r="BB78" s="157">
        <f>SUM(AX78:BA78)</f>
        <v>0</v>
      </c>
      <c r="BC78" s="337">
        <v>0</v>
      </c>
      <c r="BD78" s="337">
        <v>0</v>
      </c>
      <c r="BE78" s="337">
        <v>0</v>
      </c>
      <c r="BF78" s="337">
        <v>0</v>
      </c>
      <c r="BG78" s="157">
        <f>SUM(BC78:BF78)</f>
        <v>0</v>
      </c>
      <c r="BH78" s="337">
        <v>0</v>
      </c>
      <c r="BI78" s="337">
        <v>0</v>
      </c>
      <c r="BJ78" s="337">
        <v>0</v>
      </c>
      <c r="BK78" s="337">
        <v>0</v>
      </c>
      <c r="BL78" s="157">
        <f>SUM(BH78:BK78)</f>
        <v>0</v>
      </c>
      <c r="BM78" s="337">
        <v>0</v>
      </c>
      <c r="BN78" s="337">
        <v>0</v>
      </c>
      <c r="BO78" s="337">
        <v>0</v>
      </c>
      <c r="BP78" s="337">
        <v>0</v>
      </c>
      <c r="BQ78" s="157">
        <f>SUM(BM78:BP78)</f>
        <v>0</v>
      </c>
      <c r="BR78" s="337">
        <v>0</v>
      </c>
      <c r="BS78" s="337">
        <v>0</v>
      </c>
      <c r="BT78" s="337">
        <v>0</v>
      </c>
      <c r="BU78" s="337">
        <v>0</v>
      </c>
      <c r="BV78" s="158">
        <f>SUM(BR78:BU78)</f>
        <v>0</v>
      </c>
      <c r="BW78" s="129"/>
      <c r="BX78" s="681"/>
    </row>
    <row r="79" spans="1:79" x14ac:dyDescent="0.2">
      <c r="A79" s="345" t="s">
        <v>290</v>
      </c>
      <c r="B79" s="353"/>
      <c r="C79" s="346"/>
      <c r="D79" s="354"/>
      <c r="E79" s="355">
        <f>+E75+E76+E77</f>
        <v>500484921</v>
      </c>
      <c r="F79" s="355">
        <f>+F75+F76+F77</f>
        <v>1228064825</v>
      </c>
      <c r="G79" s="355">
        <f>+G75+G76+G77</f>
        <v>15484983</v>
      </c>
      <c r="H79" s="355">
        <f>+H75+H76+H77</f>
        <v>45565025</v>
      </c>
      <c r="I79" s="356">
        <f>+I75+I76+I77</f>
        <v>1809175080</v>
      </c>
      <c r="J79" s="357">
        <f t="shared" ref="J79:BU79" si="46">+J75+J76+J77</f>
        <v>22081532.426999997</v>
      </c>
      <c r="K79" s="355">
        <f t="shared" si="46"/>
        <v>91841244</v>
      </c>
      <c r="L79" s="355">
        <f t="shared" si="46"/>
        <v>324568</v>
      </c>
      <c r="M79" s="355">
        <f t="shared" si="46"/>
        <v>4853</v>
      </c>
      <c r="N79" s="356">
        <f t="shared" si="46"/>
        <v>114252197.427</v>
      </c>
      <c r="O79" s="355">
        <f t="shared" si="46"/>
        <v>21313327.129999999</v>
      </c>
      <c r="P79" s="355">
        <f t="shared" si="46"/>
        <v>97185042</v>
      </c>
      <c r="Q79" s="355">
        <f t="shared" si="46"/>
        <v>861947</v>
      </c>
      <c r="R79" s="355">
        <f t="shared" si="46"/>
        <v>1115210</v>
      </c>
      <c r="S79" s="356">
        <f t="shared" si="46"/>
        <v>120475526.13</v>
      </c>
      <c r="T79" s="355">
        <f t="shared" si="46"/>
        <v>42064414</v>
      </c>
      <c r="U79" s="355">
        <f t="shared" si="46"/>
        <v>88294246</v>
      </c>
      <c r="V79" s="355">
        <f t="shared" si="46"/>
        <v>15761</v>
      </c>
      <c r="W79" s="355">
        <f t="shared" si="46"/>
        <v>475863</v>
      </c>
      <c r="X79" s="356">
        <f t="shared" si="46"/>
        <v>130850284</v>
      </c>
      <c r="Y79" s="355">
        <f t="shared" si="46"/>
        <v>52873403</v>
      </c>
      <c r="Z79" s="355">
        <f t="shared" si="46"/>
        <v>140177743</v>
      </c>
      <c r="AA79" s="355">
        <f t="shared" si="46"/>
        <v>518145</v>
      </c>
      <c r="AB79" s="355">
        <f t="shared" si="46"/>
        <v>3806670</v>
      </c>
      <c r="AC79" s="356">
        <f t="shared" si="46"/>
        <v>197375961</v>
      </c>
      <c r="AD79" s="355">
        <f t="shared" si="46"/>
        <v>52348326.122999996</v>
      </c>
      <c r="AE79" s="355">
        <f t="shared" si="46"/>
        <v>107273151</v>
      </c>
      <c r="AF79" s="355">
        <f t="shared" si="46"/>
        <v>905002</v>
      </c>
      <c r="AG79" s="355">
        <f t="shared" si="46"/>
        <v>5002463</v>
      </c>
      <c r="AH79" s="356">
        <f t="shared" si="46"/>
        <v>165528942.123</v>
      </c>
      <c r="AI79" s="355">
        <f t="shared" si="46"/>
        <v>40737320.242999993</v>
      </c>
      <c r="AJ79" s="355">
        <f t="shared" si="46"/>
        <v>97067140</v>
      </c>
      <c r="AK79" s="355">
        <f t="shared" si="46"/>
        <v>867648</v>
      </c>
      <c r="AL79" s="355">
        <f t="shared" si="46"/>
        <v>9873949</v>
      </c>
      <c r="AM79" s="356">
        <f>+AM75+AM76+AM77</f>
        <v>148546057.243</v>
      </c>
      <c r="AN79" s="355">
        <f t="shared" si="46"/>
        <v>0</v>
      </c>
      <c r="AO79" s="355">
        <f t="shared" si="46"/>
        <v>0</v>
      </c>
      <c r="AP79" s="355">
        <f t="shared" si="46"/>
        <v>0</v>
      </c>
      <c r="AQ79" s="355">
        <f t="shared" si="46"/>
        <v>0</v>
      </c>
      <c r="AR79" s="356">
        <f t="shared" si="46"/>
        <v>0</v>
      </c>
      <c r="AS79" s="355">
        <f t="shared" si="46"/>
        <v>0</v>
      </c>
      <c r="AT79" s="355">
        <f t="shared" si="46"/>
        <v>0</v>
      </c>
      <c r="AU79" s="355">
        <f t="shared" si="46"/>
        <v>0</v>
      </c>
      <c r="AV79" s="355">
        <f t="shared" si="46"/>
        <v>0</v>
      </c>
      <c r="AW79" s="356">
        <f t="shared" si="46"/>
        <v>0</v>
      </c>
      <c r="AX79" s="355">
        <f t="shared" si="46"/>
        <v>0</v>
      </c>
      <c r="AY79" s="355">
        <f t="shared" si="46"/>
        <v>0</v>
      </c>
      <c r="AZ79" s="355">
        <f t="shared" si="46"/>
        <v>0</v>
      </c>
      <c r="BA79" s="355">
        <f t="shared" si="46"/>
        <v>0</v>
      </c>
      <c r="BB79" s="356">
        <f t="shared" si="46"/>
        <v>0</v>
      </c>
      <c r="BC79" s="355">
        <f t="shared" si="46"/>
        <v>0</v>
      </c>
      <c r="BD79" s="355">
        <f t="shared" si="46"/>
        <v>0</v>
      </c>
      <c r="BE79" s="355">
        <f t="shared" si="46"/>
        <v>0</v>
      </c>
      <c r="BF79" s="355">
        <f t="shared" si="46"/>
        <v>0</v>
      </c>
      <c r="BG79" s="356">
        <f t="shared" si="46"/>
        <v>0</v>
      </c>
      <c r="BH79" s="355">
        <f t="shared" si="46"/>
        <v>0</v>
      </c>
      <c r="BI79" s="355">
        <f t="shared" si="46"/>
        <v>0</v>
      </c>
      <c r="BJ79" s="355">
        <f t="shared" si="46"/>
        <v>0</v>
      </c>
      <c r="BK79" s="355">
        <f t="shared" si="46"/>
        <v>0</v>
      </c>
      <c r="BL79" s="356">
        <f t="shared" si="46"/>
        <v>0</v>
      </c>
      <c r="BM79" s="355">
        <f t="shared" si="46"/>
        <v>0</v>
      </c>
      <c r="BN79" s="355">
        <f t="shared" si="46"/>
        <v>0</v>
      </c>
      <c r="BO79" s="355">
        <f t="shared" si="46"/>
        <v>0</v>
      </c>
      <c r="BP79" s="355">
        <f t="shared" si="46"/>
        <v>0</v>
      </c>
      <c r="BQ79" s="356">
        <f t="shared" si="46"/>
        <v>0</v>
      </c>
      <c r="BR79" s="355">
        <f t="shared" si="46"/>
        <v>231418322.92299998</v>
      </c>
      <c r="BS79" s="355">
        <f t="shared" si="46"/>
        <v>621838566</v>
      </c>
      <c r="BT79" s="355">
        <f t="shared" si="46"/>
        <v>3493071</v>
      </c>
      <c r="BU79" s="355">
        <f t="shared" si="46"/>
        <v>20279008</v>
      </c>
      <c r="BV79" s="358">
        <f t="shared" ref="BV79" si="47">+BV75+BV76+BV77</f>
        <v>877028967.92299998</v>
      </c>
      <c r="BW79" s="682"/>
      <c r="BX79" s="681"/>
    </row>
    <row r="80" spans="1:79" ht="14.45" customHeight="1" x14ac:dyDescent="0.2">
      <c r="A80" s="360" t="s">
        <v>291</v>
      </c>
      <c r="B80" s="361"/>
      <c r="C80" s="361"/>
      <c r="D80" s="304"/>
      <c r="E80" s="362"/>
      <c r="F80" s="363"/>
      <c r="G80" s="363"/>
      <c r="H80" s="363"/>
      <c r="I80" s="364"/>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c r="BX80" s="681"/>
    </row>
    <row r="81" spans="1:76" ht="15" x14ac:dyDescent="0.2">
      <c r="A81" s="330" t="s">
        <v>292</v>
      </c>
      <c r="B81" s="365"/>
      <c r="C81" s="365"/>
      <c r="D81" s="365"/>
      <c r="E81" s="365"/>
      <c r="F81" s="365"/>
      <c r="G81" s="365"/>
      <c r="H81" s="365"/>
      <c r="I81" s="366"/>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c r="BX81" s="681"/>
    </row>
    <row r="82" spans="1:76" x14ac:dyDescent="0.2">
      <c r="A82" s="330" t="s">
        <v>293</v>
      </c>
      <c r="B82" s="365"/>
      <c r="C82" s="365"/>
      <c r="D82" s="365"/>
      <c r="E82" s="365"/>
      <c r="F82" s="365"/>
      <c r="G82" s="365"/>
      <c r="H82" s="365"/>
      <c r="I82" s="179"/>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X82" s="681"/>
    </row>
    <row r="83" spans="1:76" x14ac:dyDescent="0.2">
      <c r="A83" s="330" t="s">
        <v>294</v>
      </c>
      <c r="B83" s="365"/>
      <c r="C83" s="365"/>
      <c r="D83" s="365"/>
      <c r="E83" s="365"/>
      <c r="F83" s="365"/>
      <c r="G83" s="365"/>
      <c r="H83" s="365"/>
      <c r="I83" s="179"/>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X83" s="681"/>
    </row>
    <row r="84" spans="1:76" x14ac:dyDescent="0.2">
      <c r="A84" s="330" t="s">
        <v>295</v>
      </c>
      <c r="B84" s="365"/>
      <c r="C84" s="365"/>
      <c r="D84" s="365"/>
      <c r="E84" s="365"/>
      <c r="F84" s="365"/>
      <c r="G84" s="365"/>
      <c r="H84" s="365"/>
      <c r="I84" s="179"/>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c r="BR84" s="363"/>
      <c r="BS84" s="363"/>
      <c r="BT84" s="363"/>
      <c r="BU84" s="363"/>
      <c r="BV84" s="363"/>
      <c r="BX84" s="681"/>
    </row>
    <row r="85" spans="1:76" x14ac:dyDescent="0.2">
      <c r="A85" s="331" t="s">
        <v>296</v>
      </c>
      <c r="B85" s="331"/>
      <c r="C85" s="331"/>
      <c r="D85" s="331"/>
      <c r="E85" s="331"/>
      <c r="F85" s="331"/>
      <c r="G85" s="331"/>
      <c r="H85" s="331"/>
      <c r="I85" s="120"/>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c r="BR85" s="363"/>
      <c r="BS85" s="363"/>
      <c r="BT85" s="363"/>
      <c r="BU85" s="363"/>
      <c r="BV85" s="363"/>
      <c r="BX85" s="681"/>
    </row>
    <row r="86" spans="1:76" x14ac:dyDescent="0.2">
      <c r="A86" s="330"/>
      <c r="B86" s="365"/>
      <c r="C86" s="365"/>
      <c r="D86" s="365"/>
      <c r="E86" s="365"/>
      <c r="F86" s="365"/>
      <c r="G86" s="365"/>
      <c r="H86" s="365"/>
      <c r="I86" s="179"/>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X86" s="681"/>
    </row>
    <row r="87" spans="1:76" x14ac:dyDescent="0.2">
      <c r="BX87" s="681"/>
    </row>
    <row r="88" spans="1:76" x14ac:dyDescent="0.2">
      <c r="BX88" s="681"/>
    </row>
    <row r="89" spans="1:76" x14ac:dyDescent="0.2">
      <c r="B89" s="86"/>
      <c r="C89" s="304"/>
      <c r="D89" s="304"/>
      <c r="E89" s="362"/>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3"/>
      <c r="BM89" s="363"/>
      <c r="BN89" s="363"/>
      <c r="BO89" s="363"/>
      <c r="BP89" s="363"/>
      <c r="BQ89" s="363"/>
      <c r="BR89" s="363"/>
      <c r="BS89" s="363"/>
      <c r="BT89" s="363"/>
      <c r="BU89" s="363"/>
      <c r="BV89" s="363"/>
      <c r="BW89" s="280"/>
      <c r="BX89" s="681"/>
    </row>
    <row r="90" spans="1:76" x14ac:dyDescent="0.2">
      <c r="B90" s="86"/>
      <c r="C90" s="304"/>
      <c r="D90" s="304"/>
      <c r="E90" s="362"/>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c r="BR90" s="363"/>
      <c r="BS90" s="363"/>
      <c r="BT90" s="363"/>
      <c r="BU90" s="363"/>
      <c r="BV90" s="363"/>
      <c r="BW90" s="280"/>
      <c r="BX90" s="681"/>
    </row>
    <row r="91" spans="1:76" x14ac:dyDescent="0.2">
      <c r="B91" s="86"/>
      <c r="C91" s="304"/>
      <c r="D91" s="304"/>
      <c r="E91" s="362"/>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280"/>
      <c r="BX91" s="681"/>
    </row>
    <row r="92" spans="1:76" x14ac:dyDescent="0.2">
      <c r="B92" s="86"/>
      <c r="C92" s="304"/>
      <c r="D92" s="304"/>
      <c r="E92" s="362"/>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c r="BW92" s="280"/>
      <c r="BX92" s="681"/>
    </row>
    <row r="93" spans="1:76" x14ac:dyDescent="0.2">
      <c r="B93" s="86"/>
      <c r="C93" s="304"/>
      <c r="D93" s="304"/>
      <c r="E93" s="362"/>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363"/>
      <c r="BO93" s="363"/>
      <c r="BP93" s="363"/>
      <c r="BQ93" s="363"/>
      <c r="BR93" s="363"/>
      <c r="BS93" s="363"/>
      <c r="BT93" s="363"/>
      <c r="BU93" s="363"/>
      <c r="BV93" s="363"/>
      <c r="BW93" s="280"/>
      <c r="BX93" s="681"/>
    </row>
    <row r="94" spans="1:76" x14ac:dyDescent="0.2">
      <c r="B94" s="86"/>
      <c r="C94" s="304"/>
      <c r="D94" s="304"/>
      <c r="E94" s="362"/>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c r="BR94" s="363"/>
      <c r="BS94" s="363"/>
      <c r="BT94" s="363"/>
      <c r="BU94" s="363"/>
      <c r="BV94" s="363"/>
      <c r="BW94" s="280"/>
      <c r="BX94" s="681"/>
    </row>
    <row r="95" spans="1:76" x14ac:dyDescent="0.2">
      <c r="B95" s="86"/>
      <c r="C95" s="304"/>
      <c r="D95" s="304"/>
      <c r="E95" s="362"/>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363"/>
      <c r="BU95" s="363"/>
      <c r="BV95" s="363"/>
      <c r="BX95" s="681"/>
    </row>
    <row r="96" spans="1:76" x14ac:dyDescent="0.2">
      <c r="B96" s="86"/>
      <c r="C96" s="304"/>
      <c r="D96" s="304"/>
      <c r="E96" s="362"/>
      <c r="F96" s="363"/>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c r="BR96" s="363"/>
      <c r="BS96" s="363"/>
      <c r="BT96" s="363"/>
      <c r="BU96" s="363"/>
      <c r="BV96" s="363"/>
      <c r="BX96" s="681"/>
    </row>
    <row r="97" spans="2:76" x14ac:dyDescent="0.2">
      <c r="B97" s="86"/>
      <c r="C97" s="304"/>
      <c r="D97" s="304"/>
      <c r="E97" s="362"/>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X97" s="681"/>
    </row>
    <row r="98" spans="2:76" x14ac:dyDescent="0.2">
      <c r="B98" s="86"/>
      <c r="C98" s="304"/>
      <c r="D98" s="304"/>
      <c r="E98" s="362"/>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c r="BI98" s="363"/>
      <c r="BJ98" s="363"/>
      <c r="BK98" s="363"/>
      <c r="BL98" s="363"/>
      <c r="BM98" s="363"/>
      <c r="BN98" s="363"/>
      <c r="BO98" s="363"/>
      <c r="BP98" s="363"/>
      <c r="BQ98" s="363"/>
      <c r="BR98" s="363"/>
      <c r="BS98" s="363"/>
      <c r="BT98" s="363"/>
      <c r="BU98" s="363"/>
      <c r="BV98" s="363"/>
      <c r="BX98" s="681"/>
    </row>
    <row r="99" spans="2:76" x14ac:dyDescent="0.2">
      <c r="B99" s="86"/>
      <c r="C99" s="304"/>
      <c r="D99" s="304"/>
      <c r="E99" s="362"/>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c r="BP99" s="363"/>
      <c r="BQ99" s="363"/>
      <c r="BR99" s="363"/>
      <c r="BS99" s="363"/>
      <c r="BT99" s="363"/>
      <c r="BU99" s="363"/>
      <c r="BV99" s="363"/>
      <c r="BX99" s="681"/>
    </row>
    <row r="100" spans="2:76" x14ac:dyDescent="0.2">
      <c r="B100" s="86"/>
      <c r="C100" s="304"/>
      <c r="D100" s="304"/>
      <c r="E100" s="362"/>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c r="BR100" s="363"/>
      <c r="BS100" s="363"/>
      <c r="BT100" s="363"/>
      <c r="BU100" s="363"/>
      <c r="BV100" s="363"/>
      <c r="BX100" s="681"/>
    </row>
    <row r="101" spans="2:76" x14ac:dyDescent="0.2">
      <c r="B101" s="86"/>
      <c r="C101" s="304"/>
      <c r="D101" s="304"/>
      <c r="E101" s="362"/>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3"/>
      <c r="BS101" s="363"/>
      <c r="BT101" s="363"/>
      <c r="BU101" s="363"/>
      <c r="BV101" s="363"/>
      <c r="BX101" s="681"/>
    </row>
    <row r="102" spans="2:76" x14ac:dyDescent="0.2">
      <c r="B102" s="86"/>
      <c r="C102" s="304"/>
      <c r="D102" s="304"/>
      <c r="E102" s="362"/>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c r="BI102" s="363"/>
      <c r="BJ102" s="363"/>
      <c r="BK102" s="363"/>
      <c r="BL102" s="363"/>
      <c r="BM102" s="363"/>
      <c r="BN102" s="363"/>
      <c r="BO102" s="363"/>
      <c r="BP102" s="363"/>
      <c r="BQ102" s="363"/>
      <c r="BR102" s="363"/>
      <c r="BS102" s="363"/>
      <c r="BT102" s="363"/>
      <c r="BU102" s="363"/>
      <c r="BV102" s="363"/>
      <c r="BX102" s="681"/>
    </row>
    <row r="103" spans="2:76" x14ac:dyDescent="0.2">
      <c r="B103" s="86"/>
      <c r="C103" s="304"/>
      <c r="D103" s="304"/>
      <c r="E103" s="362"/>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c r="BR103" s="363"/>
      <c r="BS103" s="363"/>
      <c r="BT103" s="363"/>
      <c r="BU103" s="363"/>
      <c r="BV103" s="363"/>
      <c r="BX103" s="681"/>
    </row>
    <row r="104" spans="2:76" x14ac:dyDescent="0.2">
      <c r="B104" s="86"/>
      <c r="C104" s="304"/>
      <c r="D104" s="304"/>
      <c r="E104" s="362"/>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c r="BR104" s="363"/>
      <c r="BS104" s="363"/>
      <c r="BT104" s="363"/>
      <c r="BU104" s="363"/>
      <c r="BV104" s="363"/>
      <c r="BX104" s="681"/>
    </row>
    <row r="105" spans="2:76" x14ac:dyDescent="0.2">
      <c r="B105" s="86"/>
      <c r="C105" s="304"/>
      <c r="D105" s="304"/>
      <c r="E105" s="362"/>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c r="BI105" s="363"/>
      <c r="BJ105" s="363"/>
      <c r="BK105" s="363"/>
      <c r="BL105" s="363"/>
      <c r="BM105" s="363"/>
      <c r="BN105" s="363"/>
      <c r="BO105" s="363"/>
      <c r="BP105" s="363"/>
      <c r="BQ105" s="363"/>
      <c r="BR105" s="363"/>
      <c r="BS105" s="363"/>
      <c r="BT105" s="363"/>
      <c r="BU105" s="363"/>
      <c r="BV105" s="363"/>
      <c r="BX105" s="681"/>
    </row>
    <row r="106" spans="2:76" x14ac:dyDescent="0.2">
      <c r="B106" s="86"/>
      <c r="C106" s="304"/>
      <c r="D106" s="304"/>
      <c r="E106" s="362"/>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c r="BR106" s="363"/>
      <c r="BS106" s="363"/>
      <c r="BT106" s="363"/>
      <c r="BU106" s="363"/>
      <c r="BV106" s="363"/>
      <c r="BX106" s="681"/>
    </row>
    <row r="107" spans="2:76" x14ac:dyDescent="0.2">
      <c r="B107" s="86"/>
      <c r="C107" s="304"/>
      <c r="D107" s="304"/>
      <c r="E107" s="362"/>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X107" s="681"/>
    </row>
    <row r="108" spans="2:76" x14ac:dyDescent="0.2">
      <c r="B108" s="86"/>
      <c r="C108" s="304"/>
      <c r="D108" s="304"/>
      <c r="E108" s="362"/>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c r="BI108" s="363"/>
      <c r="BJ108" s="363"/>
      <c r="BK108" s="363"/>
      <c r="BL108" s="363"/>
      <c r="BM108" s="363"/>
      <c r="BN108" s="363"/>
      <c r="BO108" s="363"/>
      <c r="BP108" s="363"/>
      <c r="BQ108" s="363"/>
      <c r="BR108" s="363"/>
      <c r="BS108" s="363"/>
      <c r="BT108" s="363"/>
      <c r="BU108" s="363"/>
      <c r="BV108" s="363"/>
      <c r="BX108" s="681"/>
    </row>
    <row r="109" spans="2:76" x14ac:dyDescent="0.2">
      <c r="B109" s="86"/>
      <c r="C109" s="304"/>
      <c r="D109" s="304"/>
      <c r="E109" s="362"/>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X109" s="681"/>
    </row>
    <row r="110" spans="2:76" x14ac:dyDescent="0.2">
      <c r="B110" s="86"/>
      <c r="C110" s="304"/>
      <c r="D110" s="304"/>
      <c r="E110" s="362"/>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c r="BR110" s="363"/>
      <c r="BS110" s="363"/>
      <c r="BT110" s="363"/>
      <c r="BU110" s="363"/>
      <c r="BV110" s="363"/>
      <c r="BX110" s="681"/>
    </row>
    <row r="111" spans="2:76" x14ac:dyDescent="0.2">
      <c r="B111" s="86"/>
      <c r="C111" s="304"/>
      <c r="D111" s="304"/>
      <c r="E111" s="362"/>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c r="BR111" s="363"/>
      <c r="BS111" s="363"/>
      <c r="BT111" s="363"/>
      <c r="BU111" s="363"/>
      <c r="BV111" s="363"/>
      <c r="BX111" s="681"/>
    </row>
    <row r="112" spans="2:76" x14ac:dyDescent="0.2">
      <c r="B112" s="86"/>
      <c r="C112" s="304"/>
      <c r="D112" s="304"/>
      <c r="E112" s="362"/>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c r="BG112" s="363"/>
      <c r="BH112" s="363"/>
      <c r="BI112" s="363"/>
      <c r="BJ112" s="363"/>
      <c r="BK112" s="363"/>
      <c r="BL112" s="363"/>
      <c r="BM112" s="363"/>
      <c r="BN112" s="363"/>
      <c r="BO112" s="363"/>
      <c r="BP112" s="363"/>
      <c r="BQ112" s="363"/>
      <c r="BR112" s="363"/>
      <c r="BS112" s="363"/>
      <c r="BT112" s="363"/>
      <c r="BU112" s="363"/>
      <c r="BV112" s="363"/>
      <c r="BX112" s="681"/>
    </row>
    <row r="113" spans="2:76" x14ac:dyDescent="0.2">
      <c r="B113" s="86"/>
      <c r="C113" s="304"/>
      <c r="D113" s="304"/>
      <c r="E113" s="362"/>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c r="BI113" s="363"/>
      <c r="BJ113" s="363"/>
      <c r="BK113" s="363"/>
      <c r="BL113" s="363"/>
      <c r="BM113" s="363"/>
      <c r="BN113" s="363"/>
      <c r="BO113" s="363"/>
      <c r="BP113" s="363"/>
      <c r="BQ113" s="363"/>
      <c r="BR113" s="363"/>
      <c r="BS113" s="363"/>
      <c r="BT113" s="363"/>
      <c r="BU113" s="363"/>
      <c r="BV113" s="363"/>
      <c r="BX113" s="681"/>
    </row>
    <row r="114" spans="2:76" x14ac:dyDescent="0.2">
      <c r="B114" s="86"/>
      <c r="C114" s="304"/>
      <c r="D114" s="304"/>
      <c r="E114" s="362"/>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3"/>
      <c r="AZ114" s="363"/>
      <c r="BA114" s="363"/>
      <c r="BB114" s="363"/>
      <c r="BC114" s="363"/>
      <c r="BD114" s="363"/>
      <c r="BE114" s="363"/>
      <c r="BF114" s="363"/>
      <c r="BG114" s="363"/>
      <c r="BH114" s="363"/>
      <c r="BI114" s="363"/>
      <c r="BJ114" s="363"/>
      <c r="BK114" s="363"/>
      <c r="BL114" s="363"/>
      <c r="BM114" s="363"/>
      <c r="BN114" s="363"/>
      <c r="BO114" s="363"/>
      <c r="BP114" s="363"/>
      <c r="BQ114" s="363"/>
      <c r="BR114" s="363"/>
      <c r="BS114" s="363"/>
      <c r="BT114" s="363"/>
      <c r="BU114" s="363"/>
      <c r="BV114" s="363"/>
      <c r="BX114" s="681"/>
    </row>
    <row r="115" spans="2:76" x14ac:dyDescent="0.2">
      <c r="B115" s="280"/>
      <c r="D115" s="280"/>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X115" s="681"/>
    </row>
    <row r="116" spans="2:76" x14ac:dyDescent="0.2">
      <c r="B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c r="BX116" s="681"/>
    </row>
    <row r="117" spans="2:76" x14ac:dyDescent="0.2">
      <c r="B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c r="BX117" s="681"/>
    </row>
    <row r="118" spans="2:76" x14ac:dyDescent="0.2">
      <c r="B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c r="BX118" s="681"/>
    </row>
    <row r="119" spans="2:76" x14ac:dyDescent="0.2">
      <c r="B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c r="BX119" s="681"/>
    </row>
    <row r="120" spans="2:76" x14ac:dyDescent="0.2">
      <c r="B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c r="BX120" s="681"/>
    </row>
    <row r="121" spans="2:76" x14ac:dyDescent="0.2">
      <c r="B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c r="BX121" s="681"/>
    </row>
    <row r="122" spans="2:76" x14ac:dyDescent="0.2">
      <c r="B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c r="BX122" s="681"/>
    </row>
    <row r="123" spans="2:76" x14ac:dyDescent="0.2">
      <c r="B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c r="BX123" s="681"/>
    </row>
    <row r="124" spans="2:76" x14ac:dyDescent="0.2">
      <c r="B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X124" s="681"/>
    </row>
    <row r="125" spans="2:76" x14ac:dyDescent="0.2">
      <c r="B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X125" s="681"/>
    </row>
    <row r="126" spans="2:76" x14ac:dyDescent="0.2">
      <c r="B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X126" s="681"/>
    </row>
    <row r="127" spans="2:76" x14ac:dyDescent="0.2">
      <c r="B127" s="280"/>
      <c r="D127" s="280"/>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X127" s="681"/>
    </row>
    <row r="128" spans="2:76" x14ac:dyDescent="0.2">
      <c r="B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80"/>
      <c r="BM128" s="280"/>
      <c r="BN128" s="280"/>
      <c r="BO128" s="280"/>
      <c r="BP128" s="280"/>
      <c r="BQ128" s="280"/>
      <c r="BR128" s="280"/>
      <c r="BS128" s="280"/>
      <c r="BT128" s="280"/>
      <c r="BU128" s="280"/>
      <c r="BV128" s="280"/>
      <c r="BX128" s="681"/>
    </row>
    <row r="129" spans="2:76" x14ac:dyDescent="0.2">
      <c r="B129" s="280"/>
      <c r="D129" s="280"/>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X129" s="681"/>
    </row>
    <row r="130" spans="2:76" x14ac:dyDescent="0.2">
      <c r="B130" s="280"/>
      <c r="D130" s="280"/>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X130" s="681"/>
    </row>
    <row r="131" spans="2:76" x14ac:dyDescent="0.2">
      <c r="B131" s="86"/>
      <c r="C131" s="304"/>
      <c r="D131" s="304"/>
      <c r="E131" s="362"/>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3"/>
      <c r="BM131" s="363"/>
      <c r="BN131" s="363"/>
      <c r="BO131" s="363"/>
      <c r="BP131" s="363"/>
      <c r="BQ131" s="363"/>
      <c r="BR131" s="363"/>
      <c r="BS131" s="363"/>
      <c r="BT131" s="363"/>
      <c r="BU131" s="363"/>
      <c r="BV131" s="363"/>
      <c r="BX131" s="681"/>
    </row>
    <row r="132" spans="2:76" x14ac:dyDescent="0.2">
      <c r="B132" s="86"/>
      <c r="C132" s="86"/>
      <c r="D132" s="86"/>
      <c r="E132" s="362"/>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3"/>
      <c r="BH132" s="363"/>
      <c r="BI132" s="363"/>
      <c r="BJ132" s="363"/>
      <c r="BK132" s="363"/>
      <c r="BL132" s="363"/>
      <c r="BM132" s="363"/>
      <c r="BN132" s="363"/>
      <c r="BO132" s="363"/>
      <c r="BP132" s="363"/>
      <c r="BQ132" s="363"/>
      <c r="BR132" s="363"/>
      <c r="BS132" s="363"/>
      <c r="BT132" s="363"/>
      <c r="BU132" s="363"/>
      <c r="BV132" s="363"/>
      <c r="BX132" s="681"/>
    </row>
    <row r="133" spans="2:76" x14ac:dyDescent="0.2">
      <c r="B133" s="86"/>
      <c r="C133" s="304"/>
      <c r="D133" s="304"/>
      <c r="E133" s="362"/>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3"/>
      <c r="BM133" s="363"/>
      <c r="BN133" s="363"/>
      <c r="BO133" s="363"/>
      <c r="BP133" s="363"/>
      <c r="BQ133" s="363"/>
      <c r="BR133" s="363"/>
      <c r="BS133" s="363"/>
      <c r="BT133" s="363"/>
      <c r="BU133" s="363"/>
      <c r="BV133" s="363"/>
      <c r="BX133" s="681"/>
    </row>
    <row r="134" spans="2:76" x14ac:dyDescent="0.2">
      <c r="B134" s="314"/>
      <c r="C134" s="304"/>
      <c r="D134" s="304"/>
      <c r="E134" s="362"/>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3"/>
      <c r="BH134" s="363"/>
      <c r="BI134" s="363"/>
      <c r="BJ134" s="363"/>
      <c r="BK134" s="363"/>
      <c r="BL134" s="363"/>
      <c r="BM134" s="363"/>
      <c r="BN134" s="363"/>
      <c r="BO134" s="363"/>
      <c r="BP134" s="363"/>
      <c r="BQ134" s="363"/>
      <c r="BR134" s="363"/>
      <c r="BS134" s="363"/>
      <c r="BT134" s="363"/>
      <c r="BU134" s="363"/>
      <c r="BV134" s="363"/>
      <c r="BX134" s="681"/>
    </row>
    <row r="135" spans="2:76" x14ac:dyDescent="0.2">
      <c r="B135" s="86"/>
      <c r="C135" s="304"/>
      <c r="D135" s="304"/>
      <c r="E135" s="362"/>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3"/>
      <c r="AY135" s="363"/>
      <c r="AZ135" s="363"/>
      <c r="BA135" s="363"/>
      <c r="BB135" s="363"/>
      <c r="BC135" s="363"/>
      <c r="BD135" s="363"/>
      <c r="BE135" s="363"/>
      <c r="BF135" s="363"/>
      <c r="BG135" s="363"/>
      <c r="BH135" s="363"/>
      <c r="BI135" s="363"/>
      <c r="BJ135" s="363"/>
      <c r="BK135" s="363"/>
      <c r="BL135" s="363"/>
      <c r="BM135" s="363"/>
      <c r="BN135" s="363"/>
      <c r="BO135" s="363"/>
      <c r="BP135" s="363"/>
      <c r="BQ135" s="363"/>
      <c r="BR135" s="363"/>
      <c r="BS135" s="363"/>
      <c r="BT135" s="363"/>
      <c r="BU135" s="363"/>
      <c r="BV135" s="363"/>
      <c r="BX135" s="681"/>
    </row>
    <row r="136" spans="2:76" x14ac:dyDescent="0.2">
      <c r="B136" s="86"/>
      <c r="C136" s="304"/>
      <c r="D136" s="304"/>
      <c r="E136" s="362"/>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3"/>
      <c r="AY136" s="363"/>
      <c r="AZ136" s="363"/>
      <c r="BA136" s="363"/>
      <c r="BB136" s="363"/>
      <c r="BC136" s="363"/>
      <c r="BD136" s="363"/>
      <c r="BE136" s="363"/>
      <c r="BF136" s="363"/>
      <c r="BG136" s="363"/>
      <c r="BH136" s="363"/>
      <c r="BI136" s="363"/>
      <c r="BJ136" s="363"/>
      <c r="BK136" s="363"/>
      <c r="BL136" s="363"/>
      <c r="BM136" s="363"/>
      <c r="BN136" s="363"/>
      <c r="BO136" s="363"/>
      <c r="BP136" s="363"/>
      <c r="BQ136" s="363"/>
      <c r="BR136" s="363"/>
      <c r="BS136" s="363"/>
      <c r="BT136" s="363"/>
      <c r="BU136" s="363"/>
      <c r="BV136" s="363"/>
      <c r="BX136" s="681"/>
    </row>
    <row r="137" spans="2:76" x14ac:dyDescent="0.2">
      <c r="B137" s="86"/>
      <c r="C137" s="304"/>
      <c r="D137" s="304"/>
      <c r="E137" s="362"/>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c r="AV137" s="363"/>
      <c r="AW137" s="363"/>
      <c r="AX137" s="363"/>
      <c r="AY137" s="363"/>
      <c r="AZ137" s="363"/>
      <c r="BA137" s="363"/>
      <c r="BB137" s="363"/>
      <c r="BC137" s="363"/>
      <c r="BD137" s="363"/>
      <c r="BE137" s="363"/>
      <c r="BF137" s="363"/>
      <c r="BG137" s="363"/>
      <c r="BH137" s="363"/>
      <c r="BI137" s="363"/>
      <c r="BJ137" s="363"/>
      <c r="BK137" s="363"/>
      <c r="BL137" s="363"/>
      <c r="BM137" s="363"/>
      <c r="BN137" s="363"/>
      <c r="BO137" s="363"/>
      <c r="BP137" s="363"/>
      <c r="BQ137" s="363"/>
      <c r="BR137" s="363"/>
      <c r="BS137" s="363"/>
      <c r="BT137" s="363"/>
      <c r="BU137" s="363"/>
      <c r="BV137" s="363"/>
      <c r="BX137" s="681"/>
    </row>
    <row r="138" spans="2:76" x14ac:dyDescent="0.2">
      <c r="B138" s="86"/>
      <c r="C138" s="304"/>
      <c r="D138" s="304"/>
      <c r="E138" s="362"/>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c r="BU138" s="363"/>
      <c r="BV138" s="363"/>
      <c r="BX138" s="681"/>
    </row>
    <row r="139" spans="2:76" x14ac:dyDescent="0.2">
      <c r="B139" s="86"/>
      <c r="C139" s="304"/>
      <c r="D139" s="304"/>
      <c r="E139" s="362"/>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c r="BX139" s="681"/>
    </row>
    <row r="140" spans="2:76" x14ac:dyDescent="0.2">
      <c r="B140" s="86"/>
      <c r="C140" s="304"/>
      <c r="D140" s="304"/>
      <c r="E140" s="362"/>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X140" s="681"/>
    </row>
    <row r="141" spans="2:76" x14ac:dyDescent="0.2">
      <c r="B141" s="86"/>
      <c r="C141" s="304"/>
      <c r="D141" s="304"/>
      <c r="E141" s="362"/>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c r="BG141" s="363"/>
      <c r="BH141" s="363"/>
      <c r="BI141" s="363"/>
      <c r="BJ141" s="363"/>
      <c r="BK141" s="363"/>
      <c r="BL141" s="363"/>
      <c r="BM141" s="363"/>
      <c r="BN141" s="363"/>
      <c r="BO141" s="363"/>
      <c r="BP141" s="363"/>
      <c r="BQ141" s="363"/>
      <c r="BR141" s="363"/>
      <c r="BS141" s="363"/>
      <c r="BT141" s="363"/>
      <c r="BU141" s="363"/>
      <c r="BV141" s="363"/>
      <c r="BX141" s="681"/>
    </row>
    <row r="142" spans="2:76" x14ac:dyDescent="0.2">
      <c r="B142" s="86"/>
      <c r="C142" s="304"/>
      <c r="D142" s="304"/>
      <c r="E142" s="362"/>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3"/>
      <c r="BJ142" s="363"/>
      <c r="BK142" s="363"/>
      <c r="BL142" s="363"/>
      <c r="BM142" s="363"/>
      <c r="BN142" s="363"/>
      <c r="BO142" s="363"/>
      <c r="BP142" s="363"/>
      <c r="BQ142" s="363"/>
      <c r="BR142" s="363"/>
      <c r="BS142" s="363"/>
      <c r="BT142" s="363"/>
      <c r="BU142" s="363"/>
      <c r="BV142" s="363"/>
      <c r="BX142" s="681"/>
    </row>
    <row r="143" spans="2:76" x14ac:dyDescent="0.2">
      <c r="B143" s="86"/>
      <c r="C143" s="304"/>
      <c r="D143" s="304"/>
      <c r="E143" s="362"/>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c r="BE143" s="363"/>
      <c r="BF143" s="363"/>
      <c r="BG143" s="363"/>
      <c r="BH143" s="363"/>
      <c r="BI143" s="363"/>
      <c r="BJ143" s="363"/>
      <c r="BK143" s="363"/>
      <c r="BL143" s="363"/>
      <c r="BM143" s="363"/>
      <c r="BN143" s="363"/>
      <c r="BO143" s="363"/>
      <c r="BP143" s="363"/>
      <c r="BQ143" s="363"/>
      <c r="BR143" s="363"/>
      <c r="BS143" s="363"/>
      <c r="BT143" s="363"/>
      <c r="BU143" s="363"/>
      <c r="BV143" s="363"/>
      <c r="BX143" s="681"/>
    </row>
    <row r="144" spans="2:76" x14ac:dyDescent="0.2">
      <c r="B144" s="86"/>
      <c r="C144" s="86"/>
      <c r="D144" s="86"/>
      <c r="E144" s="362"/>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63"/>
      <c r="AQ144" s="363"/>
      <c r="AR144" s="363"/>
      <c r="AS144" s="363"/>
      <c r="AT144" s="363"/>
      <c r="AU144" s="363"/>
      <c r="AV144" s="363"/>
      <c r="AW144" s="363"/>
      <c r="AX144" s="363"/>
      <c r="AY144" s="363"/>
      <c r="AZ144" s="363"/>
      <c r="BA144" s="363"/>
      <c r="BB144" s="363"/>
      <c r="BC144" s="363"/>
      <c r="BD144" s="363"/>
      <c r="BE144" s="363"/>
      <c r="BF144" s="363"/>
      <c r="BG144" s="363"/>
      <c r="BH144" s="363"/>
      <c r="BI144" s="363"/>
      <c r="BJ144" s="363"/>
      <c r="BK144" s="363"/>
      <c r="BL144" s="363"/>
      <c r="BM144" s="363"/>
      <c r="BN144" s="363"/>
      <c r="BO144" s="363"/>
      <c r="BP144" s="363"/>
      <c r="BQ144" s="363"/>
      <c r="BR144" s="363"/>
      <c r="BS144" s="363"/>
      <c r="BT144" s="363"/>
      <c r="BU144" s="363"/>
      <c r="BV144" s="363"/>
      <c r="BX144" s="681"/>
    </row>
    <row r="145" spans="2:76" x14ac:dyDescent="0.2">
      <c r="B145" s="86"/>
      <c r="C145" s="304"/>
      <c r="D145" s="304"/>
      <c r="E145" s="362"/>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3"/>
      <c r="BV145" s="363"/>
      <c r="BX145" s="681"/>
    </row>
    <row r="146" spans="2:76" x14ac:dyDescent="0.2">
      <c r="B146" s="86"/>
      <c r="C146" s="304"/>
      <c r="D146" s="304"/>
      <c r="E146" s="362"/>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3"/>
      <c r="AY146" s="363"/>
      <c r="AZ146" s="363"/>
      <c r="BA146" s="363"/>
      <c r="BB146" s="363"/>
      <c r="BC146" s="363"/>
      <c r="BD146" s="363"/>
      <c r="BE146" s="363"/>
      <c r="BF146" s="363"/>
      <c r="BG146" s="363"/>
      <c r="BH146" s="363"/>
      <c r="BI146" s="363"/>
      <c r="BJ146" s="363"/>
      <c r="BK146" s="363"/>
      <c r="BL146" s="363"/>
      <c r="BM146" s="363"/>
      <c r="BN146" s="363"/>
      <c r="BO146" s="363"/>
      <c r="BP146" s="363"/>
      <c r="BQ146" s="363"/>
      <c r="BR146" s="363"/>
      <c r="BS146" s="363"/>
      <c r="BT146" s="363"/>
      <c r="BU146" s="363"/>
      <c r="BV146" s="363"/>
      <c r="BX146" s="681"/>
    </row>
    <row r="147" spans="2:76" x14ac:dyDescent="0.2">
      <c r="B147" s="86"/>
      <c r="C147" s="304"/>
      <c r="D147" s="304"/>
      <c r="E147" s="362"/>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c r="BX147" s="681"/>
    </row>
    <row r="148" spans="2:76" x14ac:dyDescent="0.2">
      <c r="B148" s="86"/>
      <c r="C148" s="304"/>
      <c r="D148" s="304"/>
      <c r="E148" s="362"/>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c r="BX148" s="681"/>
    </row>
    <row r="149" spans="2:76" x14ac:dyDescent="0.2">
      <c r="B149" s="86"/>
      <c r="C149" s="304"/>
      <c r="D149" s="304"/>
      <c r="E149" s="362"/>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3"/>
      <c r="BV149" s="363"/>
      <c r="BX149" s="681"/>
    </row>
    <row r="150" spans="2:76" x14ac:dyDescent="0.2">
      <c r="B150" s="86"/>
      <c r="C150" s="304"/>
      <c r="D150" s="304"/>
      <c r="E150" s="362"/>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c r="BU150" s="363"/>
      <c r="BV150" s="363"/>
      <c r="BX150" s="681"/>
    </row>
    <row r="151" spans="2:76" x14ac:dyDescent="0.2">
      <c r="B151" s="86"/>
      <c r="C151" s="304"/>
      <c r="D151" s="304"/>
      <c r="E151" s="362"/>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3"/>
      <c r="BM151" s="363"/>
      <c r="BN151" s="363"/>
      <c r="BO151" s="363"/>
      <c r="BP151" s="363"/>
      <c r="BQ151" s="363"/>
      <c r="BR151" s="363"/>
      <c r="BS151" s="363"/>
      <c r="BT151" s="363"/>
      <c r="BU151" s="363"/>
      <c r="BV151" s="363"/>
      <c r="BX151" s="681"/>
    </row>
    <row r="152" spans="2:76" x14ac:dyDescent="0.2">
      <c r="B152" s="86"/>
      <c r="C152" s="304"/>
      <c r="D152" s="304"/>
      <c r="E152" s="362"/>
      <c r="F152" s="363"/>
      <c r="G152" s="363"/>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3"/>
      <c r="AZ152" s="363"/>
      <c r="BA152" s="363"/>
      <c r="BB152" s="363"/>
      <c r="BC152" s="363"/>
      <c r="BD152" s="363"/>
      <c r="BE152" s="363"/>
      <c r="BF152" s="363"/>
      <c r="BG152" s="363"/>
      <c r="BH152" s="363"/>
      <c r="BI152" s="363"/>
      <c r="BJ152" s="363"/>
      <c r="BK152" s="363"/>
      <c r="BL152" s="363"/>
      <c r="BM152" s="363"/>
      <c r="BN152" s="363"/>
      <c r="BO152" s="363"/>
      <c r="BP152" s="363"/>
      <c r="BQ152" s="363"/>
      <c r="BR152" s="363"/>
      <c r="BS152" s="363"/>
      <c r="BT152" s="363"/>
      <c r="BU152" s="363"/>
      <c r="BV152" s="363"/>
      <c r="BX152" s="681"/>
    </row>
    <row r="153" spans="2:76" x14ac:dyDescent="0.2">
      <c r="B153" s="86"/>
      <c r="C153" s="304"/>
      <c r="D153" s="304"/>
      <c r="E153" s="362"/>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363"/>
      <c r="BM153" s="363"/>
      <c r="BN153" s="363"/>
      <c r="BO153" s="363"/>
      <c r="BP153" s="363"/>
      <c r="BQ153" s="363"/>
      <c r="BR153" s="363"/>
      <c r="BS153" s="363"/>
      <c r="BT153" s="363"/>
      <c r="BU153" s="363"/>
      <c r="BV153" s="363"/>
      <c r="BX153" s="681"/>
    </row>
    <row r="154" spans="2:76" x14ac:dyDescent="0.2">
      <c r="B154" s="86"/>
      <c r="C154" s="304"/>
      <c r="D154" s="304"/>
      <c r="E154" s="362"/>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363"/>
      <c r="BM154" s="363"/>
      <c r="BN154" s="363"/>
      <c r="BO154" s="363"/>
      <c r="BP154" s="363"/>
      <c r="BQ154" s="363"/>
      <c r="BR154" s="363"/>
      <c r="BS154" s="363"/>
      <c r="BT154" s="363"/>
      <c r="BU154" s="363"/>
      <c r="BV154" s="363"/>
      <c r="BX154" s="681"/>
    </row>
    <row r="155" spans="2:76" x14ac:dyDescent="0.2">
      <c r="B155" s="86"/>
      <c r="C155" s="304"/>
      <c r="D155" s="304"/>
      <c r="E155" s="362"/>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c r="BJ155" s="363"/>
      <c r="BK155" s="363"/>
      <c r="BL155" s="363"/>
      <c r="BM155" s="363"/>
      <c r="BN155" s="363"/>
      <c r="BO155" s="363"/>
      <c r="BP155" s="363"/>
      <c r="BQ155" s="363"/>
      <c r="BR155" s="363"/>
      <c r="BS155" s="363"/>
      <c r="BT155" s="363"/>
      <c r="BU155" s="363"/>
      <c r="BV155" s="363"/>
      <c r="BX155" s="681"/>
    </row>
    <row r="156" spans="2:76" x14ac:dyDescent="0.2">
      <c r="B156" s="86"/>
      <c r="C156" s="304"/>
      <c r="D156" s="304"/>
      <c r="E156" s="362"/>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3"/>
      <c r="AY156" s="363"/>
      <c r="AZ156" s="363"/>
      <c r="BA156" s="363"/>
      <c r="BB156" s="363"/>
      <c r="BC156" s="363"/>
      <c r="BD156" s="363"/>
      <c r="BE156" s="363"/>
      <c r="BF156" s="363"/>
      <c r="BG156" s="363"/>
      <c r="BH156" s="363"/>
      <c r="BI156" s="363"/>
      <c r="BJ156" s="363"/>
      <c r="BK156" s="363"/>
      <c r="BL156" s="363"/>
      <c r="BM156" s="363"/>
      <c r="BN156" s="363"/>
      <c r="BO156" s="363"/>
      <c r="BP156" s="363"/>
      <c r="BQ156" s="363"/>
      <c r="BR156" s="363"/>
      <c r="BS156" s="363"/>
      <c r="BT156" s="363"/>
      <c r="BU156" s="363"/>
      <c r="BV156" s="363"/>
      <c r="BX156" s="681"/>
    </row>
    <row r="157" spans="2:76" x14ac:dyDescent="0.2">
      <c r="B157" s="86"/>
      <c r="C157" s="86"/>
      <c r="D157" s="86"/>
      <c r="E157" s="362"/>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3"/>
      <c r="AY157" s="363"/>
      <c r="AZ157" s="363"/>
      <c r="BA157" s="363"/>
      <c r="BB157" s="363"/>
      <c r="BC157" s="363"/>
      <c r="BD157" s="363"/>
      <c r="BE157" s="363"/>
      <c r="BF157" s="363"/>
      <c r="BG157" s="363"/>
      <c r="BH157" s="363"/>
      <c r="BI157" s="363"/>
      <c r="BJ157" s="363"/>
      <c r="BK157" s="363"/>
      <c r="BL157" s="363"/>
      <c r="BM157" s="363"/>
      <c r="BN157" s="363"/>
      <c r="BO157" s="363"/>
      <c r="BP157" s="363"/>
      <c r="BQ157" s="363"/>
      <c r="BR157" s="363"/>
      <c r="BS157" s="363"/>
      <c r="BT157" s="363"/>
      <c r="BU157" s="363"/>
      <c r="BV157" s="363"/>
      <c r="BX157" s="681"/>
    </row>
    <row r="158" spans="2:76" x14ac:dyDescent="0.2">
      <c r="B158" s="86"/>
      <c r="C158" s="304"/>
      <c r="D158" s="304"/>
      <c r="E158" s="362"/>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3"/>
      <c r="AY158" s="363"/>
      <c r="AZ158" s="363"/>
      <c r="BA158" s="363"/>
      <c r="BB158" s="363"/>
      <c r="BC158" s="363"/>
      <c r="BD158" s="363"/>
      <c r="BE158" s="363"/>
      <c r="BF158" s="363"/>
      <c r="BG158" s="363"/>
      <c r="BH158" s="363"/>
      <c r="BI158" s="363"/>
      <c r="BJ158" s="363"/>
      <c r="BK158" s="363"/>
      <c r="BL158" s="363"/>
      <c r="BM158" s="363"/>
      <c r="BN158" s="363"/>
      <c r="BO158" s="363"/>
      <c r="BP158" s="363"/>
      <c r="BQ158" s="363"/>
      <c r="BR158" s="363"/>
      <c r="BS158" s="363"/>
      <c r="BT158" s="363"/>
      <c r="BU158" s="363"/>
      <c r="BV158" s="363"/>
      <c r="BX158" s="681"/>
    </row>
    <row r="159" spans="2:76" x14ac:dyDescent="0.2">
      <c r="B159" s="86"/>
      <c r="C159" s="304"/>
      <c r="D159" s="304"/>
      <c r="E159" s="362"/>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c r="AV159" s="363"/>
      <c r="AW159" s="363"/>
      <c r="AX159" s="363"/>
      <c r="AY159" s="363"/>
      <c r="AZ159" s="363"/>
      <c r="BA159" s="363"/>
      <c r="BB159" s="363"/>
      <c r="BC159" s="363"/>
      <c r="BD159" s="363"/>
      <c r="BE159" s="363"/>
      <c r="BF159" s="363"/>
      <c r="BG159" s="363"/>
      <c r="BH159" s="363"/>
      <c r="BI159" s="363"/>
      <c r="BJ159" s="363"/>
      <c r="BK159" s="363"/>
      <c r="BL159" s="363"/>
      <c r="BM159" s="363"/>
      <c r="BN159" s="363"/>
      <c r="BO159" s="363"/>
      <c r="BP159" s="363"/>
      <c r="BQ159" s="363"/>
      <c r="BR159" s="363"/>
      <c r="BS159" s="363"/>
      <c r="BT159" s="363"/>
      <c r="BU159" s="363"/>
      <c r="BV159" s="363"/>
      <c r="BX159" s="681"/>
    </row>
    <row r="160" spans="2:76" x14ac:dyDescent="0.2">
      <c r="B160" s="280"/>
      <c r="D160" s="280"/>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X160" s="681"/>
    </row>
    <row r="161" spans="2:76" x14ac:dyDescent="0.2">
      <c r="B161" s="86"/>
      <c r="C161" s="304"/>
      <c r="D161" s="304"/>
      <c r="E161" s="362"/>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63"/>
      <c r="BM161" s="363"/>
      <c r="BN161" s="363"/>
      <c r="BO161" s="363"/>
      <c r="BP161" s="363"/>
      <c r="BQ161" s="363"/>
      <c r="BR161" s="363"/>
      <c r="BS161" s="363"/>
      <c r="BT161" s="363"/>
      <c r="BU161" s="363"/>
      <c r="BV161" s="363"/>
      <c r="BX161" s="681"/>
    </row>
    <row r="162" spans="2:76" x14ac:dyDescent="0.2">
      <c r="B162" s="86"/>
      <c r="C162" s="304"/>
      <c r="D162" s="304"/>
      <c r="E162" s="362"/>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363"/>
      <c r="AZ162" s="363"/>
      <c r="BA162" s="363"/>
      <c r="BB162" s="363"/>
      <c r="BC162" s="363"/>
      <c r="BD162" s="363"/>
      <c r="BE162" s="363"/>
      <c r="BF162" s="363"/>
      <c r="BG162" s="363"/>
      <c r="BH162" s="363"/>
      <c r="BI162" s="363"/>
      <c r="BJ162" s="363"/>
      <c r="BK162" s="363"/>
      <c r="BL162" s="363"/>
      <c r="BM162" s="363"/>
      <c r="BN162" s="363"/>
      <c r="BO162" s="363"/>
      <c r="BP162" s="363"/>
      <c r="BQ162" s="363"/>
      <c r="BR162" s="363"/>
      <c r="BS162" s="363"/>
      <c r="BT162" s="363"/>
      <c r="BU162" s="363"/>
      <c r="BV162" s="363"/>
      <c r="BX162" s="681"/>
    </row>
    <row r="163" spans="2:76" x14ac:dyDescent="0.2">
      <c r="B163" s="86"/>
      <c r="C163" s="304"/>
      <c r="D163" s="304"/>
      <c r="E163" s="362"/>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c r="AV163" s="363"/>
      <c r="AW163" s="363"/>
      <c r="AX163" s="363"/>
      <c r="AY163" s="363"/>
      <c r="AZ163" s="363"/>
      <c r="BA163" s="363"/>
      <c r="BB163" s="363"/>
      <c r="BC163" s="363"/>
      <c r="BD163" s="363"/>
      <c r="BE163" s="363"/>
      <c r="BF163" s="363"/>
      <c r="BG163" s="363"/>
      <c r="BH163" s="363"/>
      <c r="BI163" s="363"/>
      <c r="BJ163" s="363"/>
      <c r="BK163" s="363"/>
      <c r="BL163" s="363"/>
      <c r="BM163" s="363"/>
      <c r="BN163" s="363"/>
      <c r="BO163" s="363"/>
      <c r="BP163" s="363"/>
      <c r="BQ163" s="363"/>
      <c r="BR163" s="363"/>
      <c r="BS163" s="363"/>
      <c r="BT163" s="363"/>
      <c r="BU163" s="363"/>
      <c r="BV163" s="363"/>
      <c r="BX163" s="681"/>
    </row>
    <row r="164" spans="2:76" x14ac:dyDescent="0.2">
      <c r="B164" s="86"/>
      <c r="C164" s="304"/>
      <c r="D164" s="304"/>
      <c r="E164" s="362"/>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c r="BE164" s="363"/>
      <c r="BF164" s="363"/>
      <c r="BG164" s="363"/>
      <c r="BH164" s="363"/>
      <c r="BI164" s="363"/>
      <c r="BJ164" s="363"/>
      <c r="BK164" s="363"/>
      <c r="BL164" s="363"/>
      <c r="BM164" s="363"/>
      <c r="BN164" s="363"/>
      <c r="BO164" s="363"/>
      <c r="BP164" s="363"/>
      <c r="BQ164" s="363"/>
      <c r="BR164" s="363"/>
      <c r="BS164" s="363"/>
      <c r="BT164" s="363"/>
      <c r="BU164" s="363"/>
      <c r="BV164" s="363"/>
      <c r="BX164" s="681"/>
    </row>
    <row r="165" spans="2:76" x14ac:dyDescent="0.2">
      <c r="B165" s="86"/>
      <c r="C165" s="304"/>
      <c r="D165" s="304"/>
      <c r="E165" s="362"/>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3"/>
      <c r="AT165" s="363"/>
      <c r="AU165" s="363"/>
      <c r="AV165" s="363"/>
      <c r="AW165" s="363"/>
      <c r="AX165" s="363"/>
      <c r="AY165" s="363"/>
      <c r="AZ165" s="363"/>
      <c r="BA165" s="363"/>
      <c r="BB165" s="363"/>
      <c r="BC165" s="363"/>
      <c r="BD165" s="363"/>
      <c r="BE165" s="363"/>
      <c r="BF165" s="363"/>
      <c r="BG165" s="363"/>
      <c r="BH165" s="363"/>
      <c r="BI165" s="363"/>
      <c r="BJ165" s="363"/>
      <c r="BK165" s="363"/>
      <c r="BL165" s="363"/>
      <c r="BM165" s="363"/>
      <c r="BN165" s="363"/>
      <c r="BO165" s="363"/>
      <c r="BP165" s="363"/>
      <c r="BQ165" s="363"/>
      <c r="BR165" s="363"/>
      <c r="BS165" s="363"/>
      <c r="BT165" s="363"/>
      <c r="BU165" s="363"/>
      <c r="BV165" s="363"/>
      <c r="BX165" s="681"/>
    </row>
    <row r="166" spans="2:76" x14ac:dyDescent="0.2">
      <c r="B166" s="86"/>
      <c r="C166" s="304"/>
      <c r="D166" s="304"/>
      <c r="E166" s="362"/>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3"/>
      <c r="AY166" s="363"/>
      <c r="AZ166" s="363"/>
      <c r="BA166" s="363"/>
      <c r="BB166" s="363"/>
      <c r="BC166" s="363"/>
      <c r="BD166" s="363"/>
      <c r="BE166" s="363"/>
      <c r="BF166" s="363"/>
      <c r="BG166" s="363"/>
      <c r="BH166" s="363"/>
      <c r="BI166" s="363"/>
      <c r="BJ166" s="363"/>
      <c r="BK166" s="363"/>
      <c r="BL166" s="363"/>
      <c r="BM166" s="363"/>
      <c r="BN166" s="363"/>
      <c r="BO166" s="363"/>
      <c r="BP166" s="363"/>
      <c r="BQ166" s="363"/>
      <c r="BR166" s="363"/>
      <c r="BS166" s="363"/>
      <c r="BT166" s="363"/>
      <c r="BU166" s="363"/>
      <c r="BV166" s="363"/>
      <c r="BX166" s="681"/>
    </row>
    <row r="167" spans="2:76" x14ac:dyDescent="0.2">
      <c r="B167" s="86"/>
      <c r="C167" s="304"/>
      <c r="D167" s="304"/>
      <c r="E167" s="362"/>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3"/>
      <c r="AT167" s="363"/>
      <c r="AU167" s="363"/>
      <c r="AV167" s="363"/>
      <c r="AW167" s="363"/>
      <c r="AX167" s="363"/>
      <c r="AY167" s="363"/>
      <c r="AZ167" s="363"/>
      <c r="BA167" s="363"/>
      <c r="BB167" s="363"/>
      <c r="BC167" s="363"/>
      <c r="BD167" s="363"/>
      <c r="BE167" s="363"/>
      <c r="BF167" s="363"/>
      <c r="BG167" s="363"/>
      <c r="BH167" s="363"/>
      <c r="BI167" s="363"/>
      <c r="BJ167" s="363"/>
      <c r="BK167" s="363"/>
      <c r="BL167" s="363"/>
      <c r="BM167" s="363"/>
      <c r="BN167" s="363"/>
      <c r="BO167" s="363"/>
      <c r="BP167" s="363"/>
      <c r="BQ167" s="363"/>
      <c r="BR167" s="363"/>
      <c r="BS167" s="363"/>
      <c r="BT167" s="363"/>
      <c r="BU167" s="363"/>
      <c r="BV167" s="363"/>
      <c r="BX167" s="681"/>
    </row>
    <row r="168" spans="2:76" x14ac:dyDescent="0.2">
      <c r="B168" s="86"/>
      <c r="C168" s="304"/>
      <c r="D168" s="304"/>
      <c r="E168" s="362"/>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c r="BH168" s="363"/>
      <c r="BI168" s="363"/>
      <c r="BJ168" s="363"/>
      <c r="BK168" s="363"/>
      <c r="BL168" s="363"/>
      <c r="BM168" s="363"/>
      <c r="BN168" s="363"/>
      <c r="BO168" s="363"/>
      <c r="BP168" s="363"/>
      <c r="BQ168" s="363"/>
      <c r="BR168" s="363"/>
      <c r="BS168" s="363"/>
      <c r="BT168" s="363"/>
      <c r="BU168" s="363"/>
      <c r="BV168" s="363"/>
      <c r="BX168" s="681"/>
    </row>
    <row r="169" spans="2:76" x14ac:dyDescent="0.2">
      <c r="B169" s="86"/>
      <c r="C169" s="304"/>
      <c r="D169" s="304"/>
      <c r="E169" s="362"/>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c r="AV169" s="363"/>
      <c r="AW169" s="363"/>
      <c r="AX169" s="363"/>
      <c r="AY169" s="363"/>
      <c r="AZ169" s="363"/>
      <c r="BA169" s="363"/>
      <c r="BB169" s="363"/>
      <c r="BC169" s="363"/>
      <c r="BD169" s="363"/>
      <c r="BE169" s="363"/>
      <c r="BF169" s="363"/>
      <c r="BG169" s="363"/>
      <c r="BH169" s="363"/>
      <c r="BI169" s="363"/>
      <c r="BJ169" s="363"/>
      <c r="BK169" s="363"/>
      <c r="BL169" s="363"/>
      <c r="BM169" s="363"/>
      <c r="BN169" s="363"/>
      <c r="BO169" s="363"/>
      <c r="BP169" s="363"/>
      <c r="BQ169" s="363"/>
      <c r="BR169" s="363"/>
      <c r="BS169" s="363"/>
      <c r="BT169" s="363"/>
      <c r="BU169" s="363"/>
      <c r="BV169" s="363"/>
      <c r="BX169" s="681"/>
    </row>
    <row r="170" spans="2:76" x14ac:dyDescent="0.2">
      <c r="B170" s="86"/>
      <c r="C170" s="304"/>
      <c r="D170" s="304"/>
      <c r="E170" s="362"/>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c r="BG170" s="363"/>
      <c r="BH170" s="363"/>
      <c r="BI170" s="363"/>
      <c r="BJ170" s="363"/>
      <c r="BK170" s="363"/>
      <c r="BL170" s="363"/>
      <c r="BM170" s="363"/>
      <c r="BN170" s="363"/>
      <c r="BO170" s="363"/>
      <c r="BP170" s="363"/>
      <c r="BQ170" s="363"/>
      <c r="BR170" s="363"/>
      <c r="BS170" s="363"/>
      <c r="BT170" s="363"/>
      <c r="BU170" s="363"/>
      <c r="BV170" s="363"/>
      <c r="BX170" s="681"/>
    </row>
    <row r="171" spans="2:76" x14ac:dyDescent="0.2">
      <c r="B171" s="86"/>
      <c r="C171" s="304"/>
      <c r="D171" s="304"/>
      <c r="E171" s="362"/>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c r="BG171" s="363"/>
      <c r="BH171" s="363"/>
      <c r="BI171" s="363"/>
      <c r="BJ171" s="363"/>
      <c r="BK171" s="363"/>
      <c r="BL171" s="363"/>
      <c r="BM171" s="363"/>
      <c r="BN171" s="363"/>
      <c r="BO171" s="363"/>
      <c r="BP171" s="363"/>
      <c r="BQ171" s="363"/>
      <c r="BR171" s="363"/>
      <c r="BS171" s="363"/>
      <c r="BT171" s="363"/>
      <c r="BU171" s="363"/>
      <c r="BV171" s="363"/>
      <c r="BX171" s="681"/>
    </row>
    <row r="172" spans="2:76" x14ac:dyDescent="0.2">
      <c r="B172" s="86"/>
      <c r="C172" s="304"/>
      <c r="D172" s="304"/>
      <c r="E172" s="362"/>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3"/>
      <c r="AT172" s="363"/>
      <c r="AU172" s="363"/>
      <c r="AV172" s="363"/>
      <c r="AW172" s="363"/>
      <c r="AX172" s="363"/>
      <c r="AY172" s="363"/>
      <c r="AZ172" s="363"/>
      <c r="BA172" s="363"/>
      <c r="BB172" s="363"/>
      <c r="BC172" s="363"/>
      <c r="BD172" s="363"/>
      <c r="BE172" s="363"/>
      <c r="BF172" s="363"/>
      <c r="BG172" s="363"/>
      <c r="BH172" s="363"/>
      <c r="BI172" s="363"/>
      <c r="BJ172" s="363"/>
      <c r="BK172" s="363"/>
      <c r="BL172" s="363"/>
      <c r="BM172" s="363"/>
      <c r="BN172" s="363"/>
      <c r="BO172" s="363"/>
      <c r="BP172" s="363"/>
      <c r="BQ172" s="363"/>
      <c r="BR172" s="363"/>
      <c r="BS172" s="363"/>
      <c r="BT172" s="363"/>
      <c r="BU172" s="363"/>
      <c r="BV172" s="363"/>
      <c r="BX172" s="681"/>
    </row>
    <row r="173" spans="2:76" x14ac:dyDescent="0.2">
      <c r="B173" s="86"/>
      <c r="C173" s="304"/>
      <c r="D173" s="304"/>
      <c r="E173" s="362"/>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P173" s="363"/>
      <c r="BQ173" s="363"/>
      <c r="BR173" s="363"/>
      <c r="BS173" s="363"/>
      <c r="BT173" s="363"/>
      <c r="BU173" s="363"/>
      <c r="BV173" s="363"/>
      <c r="BX173" s="681"/>
    </row>
    <row r="174" spans="2:76" x14ac:dyDescent="0.2">
      <c r="B174" s="86"/>
      <c r="C174" s="304"/>
      <c r="D174" s="304"/>
      <c r="E174" s="362"/>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3"/>
      <c r="AY174" s="363"/>
      <c r="AZ174" s="363"/>
      <c r="BA174" s="363"/>
      <c r="BB174" s="363"/>
      <c r="BC174" s="363"/>
      <c r="BD174" s="363"/>
      <c r="BE174" s="363"/>
      <c r="BF174" s="363"/>
      <c r="BG174" s="363"/>
      <c r="BH174" s="363"/>
      <c r="BI174" s="363"/>
      <c r="BJ174" s="363"/>
      <c r="BK174" s="363"/>
      <c r="BL174" s="363"/>
      <c r="BM174" s="363"/>
      <c r="BN174" s="363"/>
      <c r="BO174" s="363"/>
      <c r="BP174" s="363"/>
      <c r="BQ174" s="363"/>
      <c r="BR174" s="363"/>
      <c r="BS174" s="363"/>
      <c r="BT174" s="363"/>
      <c r="BU174" s="363"/>
      <c r="BV174" s="363"/>
    </row>
    <row r="175" spans="2:76" x14ac:dyDescent="0.2">
      <c r="B175" s="86"/>
      <c r="C175" s="304"/>
      <c r="D175" s="304"/>
      <c r="E175" s="362"/>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363"/>
      <c r="AX175" s="363"/>
      <c r="AY175" s="363"/>
      <c r="AZ175" s="363"/>
      <c r="BA175" s="363"/>
      <c r="BB175" s="363"/>
      <c r="BC175" s="363"/>
      <c r="BD175" s="363"/>
      <c r="BE175" s="363"/>
      <c r="BF175" s="363"/>
      <c r="BG175" s="363"/>
      <c r="BH175" s="363"/>
      <c r="BI175" s="363"/>
      <c r="BJ175" s="363"/>
      <c r="BK175" s="363"/>
      <c r="BL175" s="363"/>
      <c r="BM175" s="363"/>
      <c r="BN175" s="363"/>
      <c r="BO175" s="363"/>
      <c r="BP175" s="363"/>
      <c r="BQ175" s="363"/>
      <c r="BR175" s="363"/>
      <c r="BS175" s="363"/>
      <c r="BT175" s="363"/>
      <c r="BU175" s="363"/>
      <c r="BV175" s="363"/>
    </row>
    <row r="176" spans="2:76" x14ac:dyDescent="0.2">
      <c r="B176" s="86"/>
      <c r="C176" s="304"/>
      <c r="D176" s="304"/>
      <c r="E176" s="362"/>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c r="BO176" s="363"/>
      <c r="BP176" s="363"/>
      <c r="BQ176" s="363"/>
      <c r="BR176" s="363"/>
      <c r="BS176" s="363"/>
      <c r="BT176" s="363"/>
      <c r="BU176" s="363"/>
      <c r="BV176" s="363"/>
    </row>
    <row r="177" spans="2:74" x14ac:dyDescent="0.2">
      <c r="B177" s="86"/>
      <c r="C177" s="304"/>
      <c r="D177" s="304"/>
      <c r="E177" s="362"/>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c r="BO177" s="363"/>
      <c r="BP177" s="363"/>
      <c r="BQ177" s="363"/>
      <c r="BR177" s="363"/>
      <c r="BS177" s="363"/>
      <c r="BT177" s="363"/>
      <c r="BU177" s="363"/>
      <c r="BV177" s="363"/>
    </row>
    <row r="178" spans="2:74" x14ac:dyDescent="0.2">
      <c r="B178" s="86"/>
      <c r="C178" s="304"/>
      <c r="D178" s="304"/>
      <c r="E178" s="362"/>
      <c r="F178" s="363"/>
      <c r="G178" s="363"/>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3"/>
      <c r="AY178" s="363"/>
      <c r="AZ178" s="363"/>
      <c r="BA178" s="363"/>
      <c r="BB178" s="363"/>
      <c r="BC178" s="363"/>
      <c r="BD178" s="363"/>
      <c r="BE178" s="363"/>
      <c r="BF178" s="363"/>
      <c r="BG178" s="363"/>
      <c r="BH178" s="363"/>
      <c r="BI178" s="363"/>
      <c r="BJ178" s="363"/>
      <c r="BK178" s="363"/>
      <c r="BL178" s="363"/>
      <c r="BM178" s="363"/>
      <c r="BN178" s="363"/>
      <c r="BO178" s="363"/>
      <c r="BP178" s="363"/>
      <c r="BQ178" s="363"/>
      <c r="BR178" s="363"/>
      <c r="BS178" s="363"/>
      <c r="BT178" s="363"/>
      <c r="BU178" s="363"/>
      <c r="BV178" s="363"/>
    </row>
    <row r="179" spans="2:74" x14ac:dyDescent="0.2">
      <c r="B179" s="86"/>
      <c r="C179" s="304"/>
      <c r="D179" s="304"/>
      <c r="E179" s="362"/>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363"/>
      <c r="AN179" s="363"/>
      <c r="AO179" s="363"/>
      <c r="AP179" s="363"/>
      <c r="AQ179" s="363"/>
      <c r="AR179" s="363"/>
      <c r="AS179" s="363"/>
      <c r="AT179" s="363"/>
      <c r="AU179" s="363"/>
      <c r="AV179" s="363"/>
      <c r="AW179" s="363"/>
      <c r="AX179" s="363"/>
      <c r="AY179" s="363"/>
      <c r="AZ179" s="363"/>
      <c r="BA179" s="363"/>
      <c r="BB179" s="363"/>
      <c r="BC179" s="363"/>
      <c r="BD179" s="363"/>
      <c r="BE179" s="363"/>
      <c r="BF179" s="363"/>
      <c r="BG179" s="363"/>
      <c r="BH179" s="363"/>
      <c r="BI179" s="363"/>
      <c r="BJ179" s="363"/>
      <c r="BK179" s="363"/>
      <c r="BL179" s="363"/>
      <c r="BM179" s="363"/>
      <c r="BN179" s="363"/>
      <c r="BO179" s="363"/>
      <c r="BP179" s="363"/>
      <c r="BQ179" s="363"/>
      <c r="BR179" s="363"/>
      <c r="BS179" s="363"/>
      <c r="BT179" s="363"/>
      <c r="BU179" s="363"/>
      <c r="BV179" s="363"/>
    </row>
    <row r="180" spans="2:74" x14ac:dyDescent="0.2">
      <c r="B180" s="86"/>
      <c r="C180" s="86"/>
      <c r="D180" s="86"/>
      <c r="E180" s="362"/>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3"/>
      <c r="AY180" s="363"/>
      <c r="AZ180" s="363"/>
      <c r="BA180" s="363"/>
      <c r="BB180" s="363"/>
      <c r="BC180" s="363"/>
      <c r="BD180" s="363"/>
      <c r="BE180" s="363"/>
      <c r="BF180" s="363"/>
      <c r="BG180" s="363"/>
      <c r="BH180" s="363"/>
      <c r="BI180" s="363"/>
      <c r="BJ180" s="363"/>
      <c r="BK180" s="363"/>
      <c r="BL180" s="363"/>
      <c r="BM180" s="363"/>
      <c r="BN180" s="363"/>
      <c r="BO180" s="363"/>
      <c r="BP180" s="363"/>
      <c r="BQ180" s="363"/>
      <c r="BR180" s="363"/>
      <c r="BS180" s="363"/>
      <c r="BT180" s="363"/>
      <c r="BU180" s="363"/>
      <c r="BV180" s="363"/>
    </row>
    <row r="181" spans="2:74" x14ac:dyDescent="0.2">
      <c r="B181" s="86"/>
      <c r="C181" s="304"/>
      <c r="D181" s="304"/>
      <c r="E181" s="362"/>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3"/>
      <c r="AZ181" s="363"/>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row>
    <row r="182" spans="2:74" x14ac:dyDescent="0.2">
      <c r="B182" s="314"/>
      <c r="C182" s="304"/>
      <c r="D182" s="304"/>
      <c r="E182" s="362"/>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3"/>
      <c r="AY182" s="363"/>
      <c r="AZ182" s="363"/>
      <c r="BA182" s="363"/>
      <c r="BB182" s="363"/>
      <c r="BC182" s="363"/>
      <c r="BD182" s="363"/>
      <c r="BE182" s="363"/>
      <c r="BF182" s="363"/>
      <c r="BG182" s="363"/>
      <c r="BH182" s="363"/>
      <c r="BI182" s="363"/>
      <c r="BJ182" s="363"/>
      <c r="BK182" s="363"/>
      <c r="BL182" s="363"/>
      <c r="BM182" s="363"/>
      <c r="BN182" s="363"/>
      <c r="BO182" s="363"/>
      <c r="BP182" s="363"/>
      <c r="BQ182" s="363"/>
      <c r="BR182" s="363"/>
      <c r="BS182" s="363"/>
      <c r="BT182" s="363"/>
      <c r="BU182" s="363"/>
      <c r="BV182" s="363"/>
    </row>
    <row r="183" spans="2:74" x14ac:dyDescent="0.2">
      <c r="B183" s="86"/>
      <c r="C183" s="304"/>
      <c r="D183" s="304"/>
      <c r="E183" s="362"/>
      <c r="F183" s="363"/>
      <c r="G183" s="363"/>
      <c r="H183" s="363"/>
      <c r="I183" s="363"/>
      <c r="J183" s="363"/>
      <c r="K183" s="363"/>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row>
    <row r="184" spans="2:74" x14ac:dyDescent="0.2">
      <c r="B184" s="86"/>
      <c r="C184" s="304"/>
      <c r="D184" s="304"/>
      <c r="E184" s="362"/>
      <c r="F184" s="363"/>
      <c r="G184" s="363"/>
      <c r="H184" s="363"/>
      <c r="I184" s="363"/>
      <c r="J184" s="363"/>
      <c r="K184" s="363"/>
      <c r="L184" s="363"/>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63"/>
      <c r="AQ184" s="363"/>
      <c r="AR184" s="363"/>
      <c r="AS184" s="363"/>
      <c r="AT184" s="363"/>
      <c r="AU184" s="363"/>
      <c r="AV184" s="363"/>
      <c r="AW184" s="363"/>
      <c r="AX184" s="363"/>
      <c r="AY184" s="363"/>
      <c r="AZ184" s="363"/>
      <c r="BA184" s="363"/>
      <c r="BB184" s="363"/>
      <c r="BC184" s="363"/>
      <c r="BD184" s="363"/>
      <c r="BE184" s="363"/>
      <c r="BF184" s="363"/>
      <c r="BG184" s="363"/>
      <c r="BH184" s="363"/>
      <c r="BI184" s="363"/>
      <c r="BJ184" s="363"/>
      <c r="BK184" s="363"/>
      <c r="BL184" s="363"/>
      <c r="BM184" s="363"/>
      <c r="BN184" s="363"/>
      <c r="BO184" s="363"/>
      <c r="BP184" s="363"/>
      <c r="BQ184" s="363"/>
      <c r="BR184" s="363"/>
      <c r="BS184" s="363"/>
      <c r="BT184" s="363"/>
      <c r="BU184" s="363"/>
      <c r="BV184" s="363"/>
    </row>
    <row r="185" spans="2:74" x14ac:dyDescent="0.2">
      <c r="B185" s="86"/>
      <c r="C185" s="304"/>
      <c r="D185" s="304"/>
      <c r="E185" s="362"/>
      <c r="F185" s="363"/>
      <c r="G185" s="363"/>
      <c r="H185" s="363"/>
      <c r="I185" s="363"/>
      <c r="J185" s="363"/>
      <c r="K185" s="363"/>
      <c r="L185" s="363"/>
      <c r="M185" s="363"/>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c r="AJ185" s="363"/>
      <c r="AK185" s="363"/>
      <c r="AL185" s="363"/>
      <c r="AM185" s="363"/>
      <c r="AN185" s="363"/>
      <c r="AO185" s="363"/>
      <c r="AP185" s="363"/>
      <c r="AQ185" s="363"/>
      <c r="AR185" s="363"/>
      <c r="AS185" s="363"/>
      <c r="AT185" s="363"/>
      <c r="AU185" s="363"/>
      <c r="AV185" s="363"/>
      <c r="AW185" s="363"/>
      <c r="AX185" s="363"/>
      <c r="AY185" s="363"/>
      <c r="AZ185" s="363"/>
      <c r="BA185" s="363"/>
      <c r="BB185" s="363"/>
      <c r="BC185" s="363"/>
      <c r="BD185" s="363"/>
      <c r="BE185" s="363"/>
      <c r="BF185" s="363"/>
      <c r="BG185" s="363"/>
      <c r="BH185" s="363"/>
      <c r="BI185" s="363"/>
      <c r="BJ185" s="363"/>
      <c r="BK185" s="363"/>
      <c r="BL185" s="363"/>
      <c r="BM185" s="363"/>
      <c r="BN185" s="363"/>
      <c r="BO185" s="363"/>
      <c r="BP185" s="363"/>
      <c r="BQ185" s="363"/>
      <c r="BR185" s="363"/>
      <c r="BS185" s="363"/>
      <c r="BT185" s="363"/>
      <c r="BU185" s="363"/>
      <c r="BV185" s="363"/>
    </row>
    <row r="186" spans="2:74" x14ac:dyDescent="0.2">
      <c r="B186" s="86"/>
      <c r="C186" s="304"/>
      <c r="D186" s="304"/>
      <c r="E186" s="362"/>
      <c r="F186" s="363"/>
      <c r="G186" s="363"/>
      <c r="H186" s="363"/>
      <c r="I186" s="363"/>
      <c r="J186" s="363"/>
      <c r="K186" s="363"/>
      <c r="L186" s="363"/>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63"/>
      <c r="AQ186" s="363"/>
      <c r="AR186" s="363"/>
      <c r="AS186" s="363"/>
      <c r="AT186" s="363"/>
      <c r="AU186" s="363"/>
      <c r="AV186" s="363"/>
      <c r="AW186" s="363"/>
      <c r="AX186" s="363"/>
      <c r="AY186" s="363"/>
      <c r="AZ186" s="363"/>
      <c r="BA186" s="363"/>
      <c r="BB186" s="363"/>
      <c r="BC186" s="363"/>
      <c r="BD186" s="363"/>
      <c r="BE186" s="363"/>
      <c r="BF186" s="363"/>
      <c r="BG186" s="363"/>
      <c r="BH186" s="363"/>
      <c r="BI186" s="363"/>
      <c r="BJ186" s="363"/>
      <c r="BK186" s="363"/>
      <c r="BL186" s="363"/>
      <c r="BM186" s="363"/>
      <c r="BN186" s="363"/>
      <c r="BO186" s="363"/>
      <c r="BP186" s="363"/>
      <c r="BQ186" s="363"/>
      <c r="BR186" s="363"/>
      <c r="BS186" s="363"/>
      <c r="BT186" s="363"/>
      <c r="BU186" s="363"/>
      <c r="BV186" s="363"/>
    </row>
    <row r="187" spans="2:74" x14ac:dyDescent="0.2">
      <c r="B187" s="86"/>
      <c r="C187" s="304"/>
      <c r="D187" s="304"/>
      <c r="E187" s="362"/>
      <c r="F187" s="363"/>
      <c r="G187" s="363"/>
      <c r="H187" s="363"/>
      <c r="I187" s="363"/>
      <c r="J187" s="363"/>
      <c r="K187" s="363"/>
      <c r="L187" s="363"/>
      <c r="M187" s="363"/>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3"/>
      <c r="AY187" s="363"/>
      <c r="AZ187" s="363"/>
      <c r="BA187" s="363"/>
      <c r="BB187" s="363"/>
      <c r="BC187" s="363"/>
      <c r="BD187" s="363"/>
      <c r="BE187" s="363"/>
      <c r="BF187" s="363"/>
      <c r="BG187" s="363"/>
      <c r="BH187" s="363"/>
      <c r="BI187" s="363"/>
      <c r="BJ187" s="363"/>
      <c r="BK187" s="363"/>
      <c r="BL187" s="363"/>
      <c r="BM187" s="363"/>
      <c r="BN187" s="363"/>
      <c r="BO187" s="363"/>
      <c r="BP187" s="363"/>
      <c r="BQ187" s="363"/>
      <c r="BR187" s="363"/>
      <c r="BS187" s="363"/>
      <c r="BT187" s="363"/>
      <c r="BU187" s="363"/>
      <c r="BV187" s="363"/>
    </row>
    <row r="188" spans="2:74" x14ac:dyDescent="0.2">
      <c r="B188" s="86"/>
      <c r="C188" s="304"/>
      <c r="D188" s="304"/>
      <c r="E188" s="362"/>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c r="AV188" s="363"/>
      <c r="AW188" s="363"/>
      <c r="AX188" s="363"/>
      <c r="AY188" s="363"/>
      <c r="AZ188" s="363"/>
      <c r="BA188" s="363"/>
      <c r="BB188" s="363"/>
      <c r="BC188" s="363"/>
      <c r="BD188" s="363"/>
      <c r="BE188" s="363"/>
      <c r="BF188" s="363"/>
      <c r="BG188" s="363"/>
      <c r="BH188" s="363"/>
      <c r="BI188" s="363"/>
      <c r="BJ188" s="363"/>
      <c r="BK188" s="363"/>
      <c r="BL188" s="363"/>
      <c r="BM188" s="363"/>
      <c r="BN188" s="363"/>
      <c r="BO188" s="363"/>
      <c r="BP188" s="363"/>
      <c r="BQ188" s="363"/>
      <c r="BR188" s="363"/>
      <c r="BS188" s="363"/>
      <c r="BT188" s="363"/>
      <c r="BU188" s="363"/>
      <c r="BV188" s="363"/>
    </row>
    <row r="189" spans="2:74" x14ac:dyDescent="0.2">
      <c r="B189" s="86"/>
      <c r="C189" s="304"/>
      <c r="D189" s="304"/>
      <c r="E189" s="362"/>
      <c r="F189" s="363"/>
      <c r="G189" s="363"/>
      <c r="H189" s="363"/>
      <c r="I189" s="363"/>
      <c r="J189" s="363"/>
      <c r="K189" s="363"/>
      <c r="L189" s="363"/>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363"/>
      <c r="AY189" s="363"/>
      <c r="AZ189" s="363"/>
      <c r="BA189" s="363"/>
      <c r="BB189" s="363"/>
      <c r="BC189" s="363"/>
      <c r="BD189" s="363"/>
      <c r="BE189" s="363"/>
      <c r="BF189" s="363"/>
      <c r="BG189" s="363"/>
      <c r="BH189" s="363"/>
      <c r="BI189" s="363"/>
      <c r="BJ189" s="363"/>
      <c r="BK189" s="363"/>
      <c r="BL189" s="363"/>
      <c r="BM189" s="363"/>
      <c r="BN189" s="363"/>
      <c r="BO189" s="363"/>
      <c r="BP189" s="363"/>
      <c r="BQ189" s="363"/>
      <c r="BR189" s="363"/>
      <c r="BS189" s="363"/>
      <c r="BT189" s="363"/>
      <c r="BU189" s="363"/>
      <c r="BV189" s="363"/>
    </row>
    <row r="190" spans="2:74" x14ac:dyDescent="0.2">
      <c r="B190" s="86"/>
      <c r="C190" s="304"/>
      <c r="D190" s="304"/>
      <c r="E190" s="362"/>
      <c r="F190" s="363"/>
      <c r="G190" s="363"/>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L190" s="363"/>
      <c r="BM190" s="363"/>
      <c r="BN190" s="363"/>
      <c r="BO190" s="363"/>
      <c r="BP190" s="363"/>
      <c r="BQ190" s="363"/>
      <c r="BR190" s="363"/>
      <c r="BS190" s="363"/>
      <c r="BT190" s="363"/>
      <c r="BU190" s="363"/>
      <c r="BV190" s="363"/>
    </row>
    <row r="191" spans="2:74" x14ac:dyDescent="0.2">
      <c r="B191" s="86"/>
      <c r="C191" s="304"/>
      <c r="D191" s="304"/>
      <c r="E191" s="362"/>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L191" s="363"/>
      <c r="BM191" s="363"/>
      <c r="BN191" s="363"/>
      <c r="BO191" s="363"/>
      <c r="BP191" s="363"/>
      <c r="BQ191" s="363"/>
      <c r="BR191" s="363"/>
      <c r="BS191" s="363"/>
      <c r="BT191" s="363"/>
      <c r="BU191" s="363"/>
      <c r="BV191" s="363"/>
    </row>
    <row r="192" spans="2:74" x14ac:dyDescent="0.2">
      <c r="B192" s="86"/>
      <c r="C192" s="86"/>
      <c r="D192" s="86"/>
      <c r="E192" s="362"/>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c r="BD192" s="363"/>
      <c r="BE192" s="363"/>
      <c r="BF192" s="363"/>
      <c r="BG192" s="363"/>
      <c r="BH192" s="363"/>
      <c r="BI192" s="363"/>
      <c r="BJ192" s="363"/>
      <c r="BK192" s="363"/>
      <c r="BL192" s="363"/>
      <c r="BM192" s="363"/>
      <c r="BN192" s="363"/>
      <c r="BO192" s="363"/>
      <c r="BP192" s="363"/>
      <c r="BQ192" s="363"/>
      <c r="BR192" s="363"/>
      <c r="BS192" s="363"/>
      <c r="BT192" s="363"/>
      <c r="BU192" s="363"/>
      <c r="BV192" s="363"/>
    </row>
    <row r="193" spans="2:74" x14ac:dyDescent="0.2">
      <c r="B193" s="86"/>
      <c r="C193" s="304"/>
      <c r="D193" s="304"/>
      <c r="E193" s="362"/>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L193" s="363"/>
      <c r="BM193" s="363"/>
      <c r="BN193" s="363"/>
      <c r="BO193" s="363"/>
      <c r="BP193" s="363"/>
      <c r="BQ193" s="363"/>
      <c r="BR193" s="363"/>
      <c r="BS193" s="363"/>
      <c r="BT193" s="363"/>
      <c r="BU193" s="363"/>
      <c r="BV193" s="363"/>
    </row>
    <row r="194" spans="2:74" x14ac:dyDescent="0.2">
      <c r="B194" s="86"/>
      <c r="C194" s="304"/>
      <c r="D194" s="304"/>
      <c r="E194" s="362"/>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363"/>
      <c r="AT194" s="363"/>
      <c r="AU194" s="363"/>
      <c r="AV194" s="363"/>
      <c r="AW194" s="363"/>
      <c r="AX194" s="363"/>
      <c r="AY194" s="363"/>
      <c r="AZ194" s="363"/>
      <c r="BA194" s="363"/>
      <c r="BB194" s="363"/>
      <c r="BC194" s="363"/>
      <c r="BD194" s="363"/>
      <c r="BE194" s="363"/>
      <c r="BF194" s="363"/>
      <c r="BG194" s="363"/>
      <c r="BH194" s="363"/>
      <c r="BI194" s="363"/>
      <c r="BJ194" s="363"/>
      <c r="BK194" s="363"/>
      <c r="BL194" s="363"/>
      <c r="BM194" s="363"/>
      <c r="BN194" s="363"/>
      <c r="BO194" s="363"/>
      <c r="BP194" s="363"/>
      <c r="BQ194" s="363"/>
      <c r="BR194" s="363"/>
      <c r="BS194" s="363"/>
      <c r="BT194" s="363"/>
      <c r="BU194" s="363"/>
      <c r="BV194" s="363"/>
    </row>
    <row r="195" spans="2:74" x14ac:dyDescent="0.2">
      <c r="B195" s="86"/>
      <c r="C195" s="304"/>
      <c r="D195" s="304"/>
      <c r="E195" s="362"/>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3"/>
      <c r="BU195" s="363"/>
      <c r="BV195" s="363"/>
    </row>
    <row r="196" spans="2:74" x14ac:dyDescent="0.2">
      <c r="B196" s="86"/>
      <c r="C196" s="304"/>
      <c r="D196" s="304"/>
      <c r="E196" s="362"/>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L196" s="363"/>
      <c r="BM196" s="363"/>
      <c r="BN196" s="363"/>
      <c r="BO196" s="363"/>
      <c r="BP196" s="363"/>
      <c r="BQ196" s="363"/>
      <c r="BR196" s="363"/>
      <c r="BS196" s="363"/>
      <c r="BT196" s="363"/>
      <c r="BU196" s="363"/>
      <c r="BV196" s="363"/>
    </row>
    <row r="197" spans="2:74" x14ac:dyDescent="0.2">
      <c r="B197" s="86"/>
      <c r="C197" s="304"/>
      <c r="D197" s="304"/>
      <c r="E197" s="362"/>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L197" s="363"/>
      <c r="BM197" s="363"/>
      <c r="BN197" s="363"/>
      <c r="BO197" s="363"/>
      <c r="BP197" s="363"/>
      <c r="BQ197" s="363"/>
      <c r="BR197" s="363"/>
      <c r="BS197" s="363"/>
      <c r="BT197" s="363"/>
      <c r="BU197" s="363"/>
      <c r="BV197" s="363"/>
    </row>
    <row r="198" spans="2:74" x14ac:dyDescent="0.2">
      <c r="B198" s="86"/>
      <c r="C198" s="304"/>
      <c r="D198" s="304"/>
      <c r="E198" s="362"/>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L198" s="363"/>
      <c r="BM198" s="363"/>
      <c r="BN198" s="363"/>
      <c r="BO198" s="363"/>
      <c r="BP198" s="363"/>
      <c r="BQ198" s="363"/>
      <c r="BR198" s="363"/>
      <c r="BS198" s="363"/>
      <c r="BT198" s="363"/>
      <c r="BU198" s="363"/>
      <c r="BV198" s="363"/>
    </row>
    <row r="199" spans="2:74" x14ac:dyDescent="0.2">
      <c r="B199" s="86"/>
      <c r="C199" s="304"/>
      <c r="D199" s="304"/>
      <c r="E199" s="362"/>
      <c r="F199" s="363"/>
      <c r="G199" s="363"/>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3"/>
      <c r="AY199" s="363"/>
      <c r="AZ199" s="363"/>
      <c r="BA199" s="363"/>
      <c r="BB199" s="363"/>
      <c r="BC199" s="363"/>
      <c r="BD199" s="363"/>
      <c r="BE199" s="363"/>
      <c r="BF199" s="363"/>
      <c r="BG199" s="363"/>
      <c r="BH199" s="363"/>
      <c r="BI199" s="363"/>
      <c r="BJ199" s="363"/>
      <c r="BK199" s="363"/>
      <c r="BL199" s="363"/>
      <c r="BM199" s="363"/>
      <c r="BN199" s="363"/>
      <c r="BO199" s="363"/>
      <c r="BP199" s="363"/>
      <c r="BQ199" s="363"/>
      <c r="BR199" s="363"/>
      <c r="BS199" s="363"/>
      <c r="BT199" s="363"/>
      <c r="BU199" s="363"/>
      <c r="BV199" s="363"/>
    </row>
    <row r="200" spans="2:74" x14ac:dyDescent="0.2">
      <c r="B200" s="86"/>
      <c r="C200" s="304"/>
      <c r="D200" s="304"/>
      <c r="E200" s="362"/>
      <c r="F200" s="363"/>
      <c r="G200" s="363"/>
      <c r="H200" s="363"/>
      <c r="I200" s="363"/>
      <c r="J200" s="363"/>
      <c r="K200" s="363"/>
      <c r="L200" s="363"/>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3"/>
      <c r="AY200" s="363"/>
      <c r="AZ200" s="363"/>
      <c r="BA200" s="363"/>
      <c r="BB200" s="363"/>
      <c r="BC200" s="363"/>
      <c r="BD200" s="363"/>
      <c r="BE200" s="363"/>
      <c r="BF200" s="363"/>
      <c r="BG200" s="363"/>
      <c r="BH200" s="363"/>
      <c r="BI200" s="363"/>
      <c r="BJ200" s="363"/>
      <c r="BK200" s="363"/>
      <c r="BL200" s="363"/>
      <c r="BM200" s="363"/>
      <c r="BN200" s="363"/>
      <c r="BO200" s="363"/>
      <c r="BP200" s="363"/>
      <c r="BQ200" s="363"/>
      <c r="BR200" s="363"/>
      <c r="BS200" s="363"/>
      <c r="BT200" s="363"/>
      <c r="BU200" s="363"/>
      <c r="BV200" s="363"/>
    </row>
    <row r="201" spans="2:74" x14ac:dyDescent="0.2">
      <c r="B201" s="86"/>
      <c r="C201" s="304"/>
      <c r="D201" s="304"/>
      <c r="E201" s="362"/>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c r="BD201" s="363"/>
      <c r="BE201" s="363"/>
      <c r="BF201" s="363"/>
      <c r="BG201" s="363"/>
      <c r="BH201" s="363"/>
      <c r="BI201" s="363"/>
      <c r="BJ201" s="363"/>
      <c r="BK201" s="363"/>
      <c r="BL201" s="363"/>
      <c r="BM201" s="363"/>
      <c r="BN201" s="363"/>
      <c r="BO201" s="363"/>
      <c r="BP201" s="363"/>
      <c r="BQ201" s="363"/>
      <c r="BR201" s="363"/>
      <c r="BS201" s="363"/>
      <c r="BT201" s="363"/>
      <c r="BU201" s="363"/>
      <c r="BV201" s="363"/>
    </row>
    <row r="202" spans="2:74" x14ac:dyDescent="0.2">
      <c r="B202" s="86"/>
      <c r="C202" s="304"/>
      <c r="D202" s="304"/>
      <c r="E202" s="362"/>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3"/>
      <c r="AT202" s="363"/>
      <c r="AU202" s="363"/>
      <c r="AV202" s="363"/>
      <c r="AW202" s="363"/>
      <c r="AX202" s="363"/>
      <c r="AY202" s="363"/>
      <c r="AZ202" s="363"/>
      <c r="BA202" s="363"/>
      <c r="BB202" s="363"/>
      <c r="BC202" s="363"/>
      <c r="BD202" s="363"/>
      <c r="BE202" s="363"/>
      <c r="BF202" s="363"/>
      <c r="BG202" s="363"/>
      <c r="BH202" s="363"/>
      <c r="BI202" s="363"/>
      <c r="BJ202" s="363"/>
      <c r="BK202" s="363"/>
      <c r="BL202" s="363"/>
      <c r="BM202" s="363"/>
      <c r="BN202" s="363"/>
      <c r="BO202" s="363"/>
      <c r="BP202" s="363"/>
      <c r="BQ202" s="363"/>
      <c r="BR202" s="363"/>
      <c r="BS202" s="363"/>
      <c r="BT202" s="363"/>
      <c r="BU202" s="363"/>
      <c r="BV202" s="363"/>
    </row>
    <row r="203" spans="2:74" x14ac:dyDescent="0.2">
      <c r="B203" s="86"/>
      <c r="C203" s="304"/>
      <c r="D203" s="304"/>
      <c r="E203" s="362"/>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c r="BD203" s="363"/>
      <c r="BE203" s="363"/>
      <c r="BF203" s="363"/>
      <c r="BG203" s="363"/>
      <c r="BH203" s="363"/>
      <c r="BI203" s="363"/>
      <c r="BJ203" s="363"/>
      <c r="BK203" s="363"/>
      <c r="BL203" s="363"/>
      <c r="BM203" s="363"/>
      <c r="BN203" s="363"/>
      <c r="BO203" s="363"/>
      <c r="BP203" s="363"/>
      <c r="BQ203" s="363"/>
      <c r="BR203" s="363"/>
      <c r="BS203" s="363"/>
      <c r="BT203" s="363"/>
      <c r="BU203" s="363"/>
      <c r="BV203" s="363"/>
    </row>
    <row r="204" spans="2:74" x14ac:dyDescent="0.2">
      <c r="B204" s="86"/>
      <c r="C204" s="304"/>
      <c r="D204" s="304"/>
      <c r="E204" s="362"/>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c r="BD204" s="363"/>
      <c r="BE204" s="363"/>
      <c r="BF204" s="363"/>
      <c r="BG204" s="363"/>
      <c r="BH204" s="363"/>
      <c r="BI204" s="363"/>
      <c r="BJ204" s="363"/>
      <c r="BK204" s="363"/>
      <c r="BL204" s="363"/>
      <c r="BM204" s="363"/>
      <c r="BN204" s="363"/>
      <c r="BO204" s="363"/>
      <c r="BP204" s="363"/>
      <c r="BQ204" s="363"/>
      <c r="BR204" s="363"/>
      <c r="BS204" s="363"/>
      <c r="BT204" s="363"/>
      <c r="BU204" s="363"/>
      <c r="BV204" s="363"/>
    </row>
    <row r="205" spans="2:74" x14ac:dyDescent="0.2">
      <c r="B205" s="86"/>
      <c r="C205" s="86"/>
      <c r="D205" s="86"/>
      <c r="E205" s="362"/>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3"/>
      <c r="AY205" s="363"/>
      <c r="AZ205" s="363"/>
      <c r="BA205" s="363"/>
      <c r="BB205" s="363"/>
      <c r="BC205" s="363"/>
      <c r="BD205" s="363"/>
      <c r="BE205" s="363"/>
      <c r="BF205" s="363"/>
      <c r="BG205" s="363"/>
      <c r="BH205" s="363"/>
      <c r="BI205" s="363"/>
      <c r="BJ205" s="363"/>
      <c r="BK205" s="363"/>
      <c r="BL205" s="363"/>
      <c r="BM205" s="363"/>
      <c r="BN205" s="363"/>
      <c r="BO205" s="363"/>
      <c r="BP205" s="363"/>
      <c r="BQ205" s="363"/>
      <c r="BR205" s="363"/>
      <c r="BS205" s="363"/>
      <c r="BT205" s="363"/>
      <c r="BU205" s="363"/>
      <c r="BV205" s="363"/>
    </row>
    <row r="206" spans="2:74" x14ac:dyDescent="0.2">
      <c r="B206" s="86"/>
      <c r="C206" s="86"/>
      <c r="D206" s="86"/>
      <c r="E206" s="362"/>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3"/>
      <c r="AY206" s="363"/>
      <c r="AZ206" s="363"/>
      <c r="BA206" s="363"/>
      <c r="BB206" s="363"/>
      <c r="BC206" s="363"/>
      <c r="BD206" s="363"/>
      <c r="BE206" s="363"/>
      <c r="BF206" s="363"/>
      <c r="BG206" s="363"/>
      <c r="BH206" s="363"/>
      <c r="BI206" s="363"/>
      <c r="BJ206" s="363"/>
      <c r="BK206" s="363"/>
      <c r="BL206" s="363"/>
      <c r="BM206" s="363"/>
      <c r="BN206" s="363"/>
      <c r="BO206" s="363"/>
      <c r="BP206" s="363"/>
      <c r="BQ206" s="363"/>
      <c r="BR206" s="363"/>
      <c r="BS206" s="363"/>
      <c r="BT206" s="363"/>
      <c r="BU206" s="363"/>
      <c r="BV206" s="363"/>
    </row>
    <row r="207" spans="2:74" x14ac:dyDescent="0.2">
      <c r="B207" s="86"/>
      <c r="C207" s="304"/>
      <c r="D207" s="304"/>
      <c r="E207" s="362"/>
      <c r="F207" s="363"/>
      <c r="G207" s="363"/>
      <c r="H207" s="363"/>
      <c r="I207" s="363"/>
      <c r="J207" s="363"/>
      <c r="K207" s="363"/>
      <c r="L207" s="363"/>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3"/>
      <c r="AT207" s="363"/>
      <c r="AU207" s="363"/>
      <c r="AV207" s="363"/>
      <c r="AW207" s="363"/>
      <c r="AX207" s="363"/>
      <c r="AY207" s="363"/>
      <c r="AZ207" s="363"/>
      <c r="BA207" s="363"/>
      <c r="BB207" s="363"/>
      <c r="BC207" s="363"/>
      <c r="BD207" s="363"/>
      <c r="BE207" s="363"/>
      <c r="BF207" s="363"/>
      <c r="BG207" s="363"/>
      <c r="BH207" s="363"/>
      <c r="BI207" s="363"/>
      <c r="BJ207" s="363"/>
      <c r="BK207" s="363"/>
      <c r="BL207" s="363"/>
      <c r="BM207" s="363"/>
      <c r="BN207" s="363"/>
      <c r="BO207" s="363"/>
      <c r="BP207" s="363"/>
      <c r="BQ207" s="363"/>
      <c r="BR207" s="363"/>
      <c r="BS207" s="363"/>
      <c r="BT207" s="363"/>
      <c r="BU207" s="363"/>
      <c r="BV207" s="363"/>
    </row>
    <row r="208" spans="2:74" x14ac:dyDescent="0.2">
      <c r="B208" s="86"/>
      <c r="C208" s="304"/>
      <c r="D208" s="304"/>
      <c r="E208" s="362"/>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row>
    <row r="209" spans="2:74" x14ac:dyDescent="0.2">
      <c r="B209" s="86"/>
      <c r="C209" s="304"/>
      <c r="D209" s="304"/>
      <c r="E209" s="362"/>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3"/>
      <c r="AT209" s="363"/>
      <c r="AU209" s="363"/>
      <c r="AV209" s="363"/>
      <c r="AW209" s="363"/>
      <c r="AX209" s="363"/>
      <c r="AY209" s="363"/>
      <c r="AZ209" s="363"/>
      <c r="BA209" s="363"/>
      <c r="BB209" s="363"/>
      <c r="BC209" s="363"/>
      <c r="BD209" s="363"/>
      <c r="BE209" s="363"/>
      <c r="BF209" s="363"/>
      <c r="BG209" s="363"/>
      <c r="BH209" s="363"/>
      <c r="BI209" s="363"/>
      <c r="BJ209" s="363"/>
      <c r="BK209" s="363"/>
      <c r="BL209" s="363"/>
      <c r="BM209" s="363"/>
      <c r="BN209" s="363"/>
      <c r="BO209" s="363"/>
      <c r="BP209" s="363"/>
      <c r="BQ209" s="363"/>
      <c r="BR209" s="363"/>
      <c r="BS209" s="363"/>
      <c r="BT209" s="363"/>
      <c r="BU209" s="363"/>
      <c r="BV209" s="363"/>
    </row>
    <row r="210" spans="2:74" x14ac:dyDescent="0.2">
      <c r="B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row>
    <row r="211" spans="2:74" x14ac:dyDescent="0.2">
      <c r="B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row>
    <row r="212" spans="2:74" x14ac:dyDescent="0.2">
      <c r="B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row>
    <row r="213" spans="2:74" x14ac:dyDescent="0.2">
      <c r="B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row>
    <row r="214" spans="2:74" x14ac:dyDescent="0.2">
      <c r="B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row>
    <row r="215" spans="2:74" x14ac:dyDescent="0.2">
      <c r="B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row>
    <row r="216" spans="2:74" x14ac:dyDescent="0.2">
      <c r="B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row>
    <row r="217" spans="2:74" x14ac:dyDescent="0.2">
      <c r="B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row>
    <row r="218" spans="2:74" x14ac:dyDescent="0.2">
      <c r="B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row>
    <row r="219" spans="2:74" x14ac:dyDescent="0.2">
      <c r="B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row>
    <row r="220" spans="2:74" x14ac:dyDescent="0.2">
      <c r="B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row>
    <row r="221" spans="2:74" x14ac:dyDescent="0.2">
      <c r="B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row>
    <row r="222" spans="2:74" x14ac:dyDescent="0.2">
      <c r="B222" s="280"/>
      <c r="D222" s="280"/>
      <c r="E222" s="280"/>
      <c r="F222" s="280"/>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row>
    <row r="223" spans="2:74" x14ac:dyDescent="0.2">
      <c r="B223" s="280"/>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row>
    <row r="224" spans="2:74" x14ac:dyDescent="0.2">
      <c r="B224" s="280"/>
      <c r="D224" s="280"/>
      <c r="E224" s="280"/>
      <c r="F224" s="280"/>
      <c r="G224" s="280"/>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row>
    <row r="225" spans="2:74" x14ac:dyDescent="0.2">
      <c r="B225" s="280"/>
      <c r="D225" s="280"/>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row>
    <row r="226" spans="2:74" x14ac:dyDescent="0.2">
      <c r="B226" s="86"/>
      <c r="C226" s="304"/>
      <c r="D226" s="304"/>
      <c r="E226" s="362"/>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c r="BT226" s="363"/>
      <c r="BU226" s="363"/>
      <c r="BV226" s="363"/>
    </row>
    <row r="227" spans="2:74" x14ac:dyDescent="0.2">
      <c r="B227" s="86"/>
      <c r="C227" s="304"/>
      <c r="D227" s="304"/>
      <c r="E227" s="362"/>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row>
    <row r="228" spans="2:74" x14ac:dyDescent="0.2">
      <c r="B228" s="86"/>
      <c r="C228" s="304"/>
      <c r="D228" s="304"/>
      <c r="E228" s="362"/>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63"/>
      <c r="BM228" s="363"/>
      <c r="BN228" s="363"/>
      <c r="BO228" s="363"/>
      <c r="BP228" s="363"/>
      <c r="BQ228" s="363"/>
      <c r="BR228" s="363"/>
      <c r="BS228" s="363"/>
      <c r="BT228" s="363"/>
      <c r="BU228" s="363"/>
      <c r="BV228" s="363"/>
    </row>
    <row r="229" spans="2:74" x14ac:dyDescent="0.2">
      <c r="B229" s="86"/>
      <c r="C229" s="304"/>
      <c r="D229" s="304"/>
      <c r="E229" s="362"/>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c r="BT229" s="363"/>
      <c r="BU229" s="363"/>
      <c r="BV229" s="363"/>
    </row>
    <row r="230" spans="2:74" x14ac:dyDescent="0.2">
      <c r="B230" s="86"/>
      <c r="C230" s="304"/>
      <c r="D230" s="304"/>
      <c r="E230" s="362"/>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row>
    <row r="231" spans="2:74" x14ac:dyDescent="0.2">
      <c r="B231" s="86"/>
      <c r="C231" s="304"/>
      <c r="D231" s="304"/>
      <c r="E231" s="362"/>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row>
    <row r="232" spans="2:74" x14ac:dyDescent="0.2">
      <c r="B232" s="86"/>
      <c r="C232" s="304"/>
      <c r="D232" s="304"/>
      <c r="E232" s="362"/>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row>
    <row r="233" spans="2:74" x14ac:dyDescent="0.2">
      <c r="B233" s="86"/>
      <c r="C233" s="304"/>
      <c r="D233" s="304"/>
      <c r="E233" s="362"/>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row>
    <row r="234" spans="2:74" x14ac:dyDescent="0.2">
      <c r="B234" s="86"/>
      <c r="C234" s="304"/>
      <c r="D234" s="304"/>
      <c r="E234" s="362"/>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row>
    <row r="235" spans="2:74" x14ac:dyDescent="0.2">
      <c r="B235" s="86"/>
      <c r="C235" s="304"/>
      <c r="D235" s="304"/>
      <c r="E235" s="362"/>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row>
    <row r="236" spans="2:74" x14ac:dyDescent="0.2">
      <c r="B236" s="86"/>
      <c r="C236" s="304"/>
      <c r="D236" s="304"/>
      <c r="E236" s="362"/>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3"/>
      <c r="BF236" s="363"/>
      <c r="BG236" s="363"/>
      <c r="BH236" s="363"/>
      <c r="BI236" s="363"/>
      <c r="BJ236" s="363"/>
      <c r="BK236" s="363"/>
      <c r="BL236" s="363"/>
      <c r="BM236" s="363"/>
      <c r="BN236" s="363"/>
      <c r="BO236" s="363"/>
      <c r="BP236" s="363"/>
      <c r="BQ236" s="363"/>
      <c r="BR236" s="363"/>
      <c r="BS236" s="363"/>
      <c r="BT236" s="363"/>
      <c r="BU236" s="363"/>
      <c r="BV236" s="363"/>
    </row>
    <row r="237" spans="2:74" x14ac:dyDescent="0.2">
      <c r="B237" s="86"/>
      <c r="C237" s="304"/>
      <c r="D237" s="304"/>
      <c r="E237" s="362"/>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row>
    <row r="238" spans="2:74" x14ac:dyDescent="0.2">
      <c r="B238" s="86"/>
      <c r="C238" s="304"/>
      <c r="D238" s="304"/>
      <c r="E238" s="362"/>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63"/>
      <c r="BM238" s="363"/>
      <c r="BN238" s="363"/>
      <c r="BO238" s="363"/>
      <c r="BP238" s="363"/>
      <c r="BQ238" s="363"/>
      <c r="BR238" s="363"/>
      <c r="BS238" s="363"/>
      <c r="BT238" s="363"/>
      <c r="BU238" s="363"/>
      <c r="BV238" s="363"/>
    </row>
    <row r="239" spans="2:74" x14ac:dyDescent="0.2">
      <c r="B239" s="86"/>
      <c r="C239" s="304"/>
      <c r="D239" s="304"/>
      <c r="E239" s="362"/>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3"/>
      <c r="BH239" s="363"/>
      <c r="BI239" s="363"/>
      <c r="BJ239" s="363"/>
      <c r="BK239" s="363"/>
      <c r="BL239" s="363"/>
      <c r="BM239" s="363"/>
      <c r="BN239" s="363"/>
      <c r="BO239" s="363"/>
      <c r="BP239" s="363"/>
      <c r="BQ239" s="363"/>
      <c r="BR239" s="363"/>
      <c r="BS239" s="363"/>
      <c r="BT239" s="363"/>
      <c r="BU239" s="363"/>
      <c r="BV239" s="363"/>
    </row>
    <row r="240" spans="2:74" x14ac:dyDescent="0.2">
      <c r="B240" s="86"/>
      <c r="C240" s="304"/>
      <c r="D240" s="304"/>
      <c r="E240" s="362"/>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row>
    <row r="241" spans="2:74" x14ac:dyDescent="0.2">
      <c r="B241" s="86"/>
      <c r="C241" s="304"/>
      <c r="D241" s="304"/>
      <c r="E241" s="362"/>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row>
    <row r="242" spans="2:74" x14ac:dyDescent="0.2">
      <c r="B242" s="86"/>
      <c r="C242" s="304"/>
      <c r="D242" s="304"/>
      <c r="E242" s="362"/>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3"/>
      <c r="BP242" s="363"/>
      <c r="BQ242" s="363"/>
      <c r="BR242" s="363"/>
      <c r="BS242" s="363"/>
      <c r="BT242" s="363"/>
      <c r="BU242" s="363"/>
      <c r="BV242" s="363"/>
    </row>
    <row r="243" spans="2:74" x14ac:dyDescent="0.2">
      <c r="B243" s="86"/>
      <c r="C243" s="304"/>
      <c r="D243" s="304"/>
      <c r="E243" s="362"/>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row>
    <row r="244" spans="2:74" x14ac:dyDescent="0.2">
      <c r="B244" s="86"/>
      <c r="C244" s="304"/>
      <c r="D244" s="304"/>
      <c r="E244" s="362"/>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row>
    <row r="245" spans="2:74" x14ac:dyDescent="0.2">
      <c r="B245" s="86"/>
      <c r="C245" s="304"/>
      <c r="D245" s="304"/>
      <c r="E245" s="362"/>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row>
    <row r="246" spans="2:74" x14ac:dyDescent="0.2">
      <c r="B246" s="86"/>
      <c r="C246" s="304"/>
      <c r="D246" s="304"/>
      <c r="E246" s="362"/>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row>
    <row r="247" spans="2:74" x14ac:dyDescent="0.2">
      <c r="B247" s="86"/>
      <c r="C247" s="304"/>
      <c r="D247" s="304"/>
      <c r="E247" s="362"/>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3"/>
      <c r="AT247" s="363"/>
      <c r="AU247" s="363"/>
      <c r="AV247" s="363"/>
      <c r="AW247" s="363"/>
      <c r="AX247" s="363"/>
      <c r="AY247" s="363"/>
      <c r="AZ247" s="363"/>
      <c r="BA247" s="363"/>
      <c r="BB247" s="363"/>
      <c r="BC247" s="363"/>
      <c r="BD247" s="363"/>
      <c r="BE247" s="363"/>
      <c r="BF247" s="363"/>
      <c r="BG247" s="363"/>
      <c r="BH247" s="363"/>
      <c r="BI247" s="363"/>
      <c r="BJ247" s="363"/>
      <c r="BK247" s="363"/>
      <c r="BL247" s="363"/>
      <c r="BM247" s="363"/>
      <c r="BN247" s="363"/>
      <c r="BO247" s="363"/>
      <c r="BP247" s="363"/>
      <c r="BQ247" s="363"/>
      <c r="BR247" s="363"/>
      <c r="BS247" s="363"/>
      <c r="BT247" s="363"/>
      <c r="BU247" s="363"/>
      <c r="BV247" s="363"/>
    </row>
    <row r="248" spans="2:74" x14ac:dyDescent="0.2">
      <c r="B248" s="86"/>
      <c r="C248" s="304"/>
      <c r="D248" s="304"/>
      <c r="E248" s="362"/>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3"/>
      <c r="AT248" s="363"/>
      <c r="AU248" s="363"/>
      <c r="AV248" s="363"/>
      <c r="AW248" s="363"/>
      <c r="AX248" s="363"/>
      <c r="AY248" s="363"/>
      <c r="AZ248" s="363"/>
      <c r="BA248" s="363"/>
      <c r="BB248" s="363"/>
      <c r="BC248" s="363"/>
      <c r="BD248" s="363"/>
      <c r="BE248" s="363"/>
      <c r="BF248" s="363"/>
      <c r="BG248" s="363"/>
      <c r="BH248" s="363"/>
      <c r="BI248" s="363"/>
      <c r="BJ248" s="363"/>
      <c r="BK248" s="363"/>
      <c r="BL248" s="363"/>
      <c r="BM248" s="363"/>
      <c r="BN248" s="363"/>
      <c r="BO248" s="363"/>
      <c r="BP248" s="363"/>
      <c r="BQ248" s="363"/>
      <c r="BR248" s="363"/>
      <c r="BS248" s="363"/>
      <c r="BT248" s="363"/>
      <c r="BU248" s="363"/>
      <c r="BV248" s="363"/>
    </row>
    <row r="249" spans="2:74" x14ac:dyDescent="0.2">
      <c r="B249" s="86"/>
      <c r="C249" s="304"/>
      <c r="D249" s="304"/>
      <c r="E249" s="362"/>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3"/>
      <c r="AT249" s="363"/>
      <c r="AU249" s="363"/>
      <c r="AV249" s="363"/>
      <c r="AW249" s="363"/>
      <c r="AX249" s="363"/>
      <c r="AY249" s="363"/>
      <c r="AZ249" s="363"/>
      <c r="BA249" s="363"/>
      <c r="BB249" s="363"/>
      <c r="BC249" s="363"/>
      <c r="BD249" s="363"/>
      <c r="BE249" s="363"/>
      <c r="BF249" s="363"/>
      <c r="BG249" s="363"/>
      <c r="BH249" s="363"/>
      <c r="BI249" s="363"/>
      <c r="BJ249" s="363"/>
      <c r="BK249" s="363"/>
      <c r="BL249" s="363"/>
      <c r="BM249" s="363"/>
      <c r="BN249" s="363"/>
      <c r="BO249" s="363"/>
      <c r="BP249" s="363"/>
      <c r="BQ249" s="363"/>
      <c r="BR249" s="363"/>
      <c r="BS249" s="363"/>
      <c r="BT249" s="363"/>
      <c r="BU249" s="363"/>
      <c r="BV249" s="363"/>
    </row>
    <row r="250" spans="2:74" x14ac:dyDescent="0.2">
      <c r="B250" s="86"/>
      <c r="C250" s="304"/>
      <c r="D250" s="304"/>
      <c r="E250" s="362"/>
      <c r="F250" s="363"/>
      <c r="G250" s="363"/>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3"/>
      <c r="AY250" s="363"/>
      <c r="AZ250" s="363"/>
      <c r="BA250" s="363"/>
      <c r="BB250" s="363"/>
      <c r="BC250" s="363"/>
      <c r="BD250" s="363"/>
      <c r="BE250" s="363"/>
      <c r="BF250" s="363"/>
      <c r="BG250" s="363"/>
      <c r="BH250" s="363"/>
      <c r="BI250" s="363"/>
      <c r="BJ250" s="363"/>
      <c r="BK250" s="363"/>
      <c r="BL250" s="363"/>
      <c r="BM250" s="363"/>
      <c r="BN250" s="363"/>
      <c r="BO250" s="363"/>
      <c r="BP250" s="363"/>
      <c r="BQ250" s="363"/>
      <c r="BR250" s="363"/>
      <c r="BS250" s="363"/>
      <c r="BT250" s="363"/>
      <c r="BU250" s="363"/>
      <c r="BV250" s="363"/>
    </row>
    <row r="251" spans="2:74" x14ac:dyDescent="0.2">
      <c r="B251" s="86"/>
      <c r="C251" s="304"/>
      <c r="D251" s="304"/>
      <c r="E251" s="362"/>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63"/>
      <c r="AY251" s="363"/>
      <c r="AZ251" s="363"/>
      <c r="BA251" s="363"/>
      <c r="BB251" s="363"/>
      <c r="BC251" s="363"/>
      <c r="BD251" s="363"/>
      <c r="BE251" s="363"/>
      <c r="BF251" s="363"/>
      <c r="BG251" s="363"/>
      <c r="BH251" s="363"/>
      <c r="BI251" s="363"/>
      <c r="BJ251" s="363"/>
      <c r="BK251" s="363"/>
      <c r="BL251" s="363"/>
      <c r="BM251" s="363"/>
      <c r="BN251" s="363"/>
      <c r="BO251" s="363"/>
      <c r="BP251" s="363"/>
      <c r="BQ251" s="363"/>
      <c r="BR251" s="363"/>
      <c r="BS251" s="363"/>
      <c r="BT251" s="363"/>
      <c r="BU251" s="363"/>
      <c r="BV251" s="363"/>
    </row>
    <row r="252" spans="2:74" x14ac:dyDescent="0.2">
      <c r="B252" s="86"/>
      <c r="C252" s="304"/>
      <c r="D252" s="304"/>
      <c r="E252" s="362"/>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c r="AS252" s="363"/>
      <c r="AT252" s="363"/>
      <c r="AU252" s="363"/>
      <c r="AV252" s="363"/>
      <c r="AW252" s="363"/>
      <c r="AX252" s="363"/>
      <c r="AY252" s="363"/>
      <c r="AZ252" s="363"/>
      <c r="BA252" s="363"/>
      <c r="BB252" s="363"/>
      <c r="BC252" s="363"/>
      <c r="BD252" s="363"/>
      <c r="BE252" s="363"/>
      <c r="BF252" s="363"/>
      <c r="BG252" s="363"/>
      <c r="BH252" s="363"/>
      <c r="BI252" s="363"/>
      <c r="BJ252" s="363"/>
      <c r="BK252" s="363"/>
      <c r="BL252" s="363"/>
      <c r="BM252" s="363"/>
      <c r="BN252" s="363"/>
      <c r="BO252" s="363"/>
      <c r="BP252" s="363"/>
      <c r="BQ252" s="363"/>
      <c r="BR252" s="363"/>
      <c r="BS252" s="363"/>
      <c r="BT252" s="363"/>
      <c r="BU252" s="363"/>
      <c r="BV252" s="363"/>
    </row>
    <row r="253" spans="2:74" x14ac:dyDescent="0.2">
      <c r="B253" s="86"/>
      <c r="C253" s="304"/>
      <c r="D253" s="304"/>
      <c r="E253" s="362"/>
      <c r="F253" s="363"/>
      <c r="G253" s="363"/>
      <c r="H253" s="363"/>
      <c r="I253" s="363"/>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3"/>
      <c r="AY253" s="363"/>
      <c r="AZ253" s="363"/>
      <c r="BA253" s="363"/>
      <c r="BB253" s="363"/>
      <c r="BC253" s="363"/>
      <c r="BD253" s="363"/>
      <c r="BE253" s="363"/>
      <c r="BF253" s="363"/>
      <c r="BG253" s="363"/>
      <c r="BH253" s="363"/>
      <c r="BI253" s="363"/>
      <c r="BJ253" s="363"/>
      <c r="BK253" s="363"/>
      <c r="BL253" s="363"/>
      <c r="BM253" s="363"/>
      <c r="BN253" s="363"/>
      <c r="BO253" s="363"/>
      <c r="BP253" s="363"/>
      <c r="BQ253" s="363"/>
      <c r="BR253" s="363"/>
      <c r="BS253" s="363"/>
      <c r="BT253" s="363"/>
      <c r="BU253" s="363"/>
      <c r="BV253" s="363"/>
    </row>
    <row r="254" spans="2:74" x14ac:dyDescent="0.2">
      <c r="B254" s="86"/>
      <c r="C254" s="304"/>
      <c r="D254" s="304"/>
      <c r="E254" s="362"/>
      <c r="F254" s="363"/>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3"/>
      <c r="AY254" s="363"/>
      <c r="AZ254" s="363"/>
      <c r="BA254" s="363"/>
      <c r="BB254" s="363"/>
      <c r="BC254" s="363"/>
      <c r="BD254" s="363"/>
      <c r="BE254" s="363"/>
      <c r="BF254" s="363"/>
      <c r="BG254" s="363"/>
      <c r="BH254" s="363"/>
      <c r="BI254" s="363"/>
      <c r="BJ254" s="363"/>
      <c r="BK254" s="363"/>
      <c r="BL254" s="363"/>
      <c r="BM254" s="363"/>
      <c r="BN254" s="363"/>
      <c r="BO254" s="363"/>
      <c r="BP254" s="363"/>
      <c r="BQ254" s="363"/>
      <c r="BR254" s="363"/>
      <c r="BS254" s="363"/>
      <c r="BT254" s="363"/>
      <c r="BU254" s="363"/>
      <c r="BV254" s="363"/>
    </row>
    <row r="255" spans="2:74" x14ac:dyDescent="0.2">
      <c r="B255" s="86"/>
      <c r="C255" s="304"/>
      <c r="D255" s="304"/>
      <c r="E255" s="362"/>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3"/>
      <c r="AY255" s="363"/>
      <c r="AZ255" s="363"/>
      <c r="BA255" s="363"/>
      <c r="BB255" s="363"/>
      <c r="BC255" s="363"/>
      <c r="BD255" s="363"/>
      <c r="BE255" s="363"/>
      <c r="BF255" s="363"/>
      <c r="BG255" s="363"/>
      <c r="BH255" s="363"/>
      <c r="BI255" s="363"/>
      <c r="BJ255" s="363"/>
      <c r="BK255" s="363"/>
      <c r="BL255" s="363"/>
      <c r="BM255" s="363"/>
      <c r="BN255" s="363"/>
      <c r="BO255" s="363"/>
      <c r="BP255" s="363"/>
      <c r="BQ255" s="363"/>
      <c r="BR255" s="363"/>
      <c r="BS255" s="363"/>
      <c r="BT255" s="363"/>
      <c r="BU255" s="363"/>
      <c r="BV255" s="363"/>
    </row>
    <row r="256" spans="2:74" x14ac:dyDescent="0.2">
      <c r="B256" s="86"/>
      <c r="C256" s="304"/>
      <c r="D256" s="304"/>
      <c r="E256" s="362"/>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3"/>
      <c r="AY256" s="363"/>
      <c r="AZ256" s="363"/>
      <c r="BA256" s="363"/>
      <c r="BB256" s="363"/>
      <c r="BC256" s="363"/>
      <c r="BD256" s="363"/>
      <c r="BE256" s="363"/>
      <c r="BF256" s="363"/>
      <c r="BG256" s="363"/>
      <c r="BH256" s="363"/>
      <c r="BI256" s="363"/>
      <c r="BJ256" s="363"/>
      <c r="BK256" s="363"/>
      <c r="BL256" s="363"/>
      <c r="BM256" s="363"/>
      <c r="BN256" s="363"/>
      <c r="BO256" s="363"/>
      <c r="BP256" s="363"/>
      <c r="BQ256" s="363"/>
      <c r="BR256" s="363"/>
      <c r="BS256" s="363"/>
      <c r="BT256" s="363"/>
      <c r="BU256" s="363"/>
      <c r="BV256" s="363"/>
    </row>
    <row r="257" spans="2:74" x14ac:dyDescent="0.2">
      <c r="B257" s="86"/>
      <c r="C257" s="304"/>
      <c r="D257" s="304"/>
      <c r="E257" s="362"/>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3"/>
      <c r="AY257" s="363"/>
      <c r="AZ257" s="363"/>
      <c r="BA257" s="363"/>
      <c r="BB257" s="363"/>
      <c r="BC257" s="363"/>
      <c r="BD257" s="363"/>
      <c r="BE257" s="363"/>
      <c r="BF257" s="363"/>
      <c r="BG257" s="363"/>
      <c r="BH257" s="363"/>
      <c r="BI257" s="363"/>
      <c r="BJ257" s="363"/>
      <c r="BK257" s="363"/>
      <c r="BL257" s="363"/>
      <c r="BM257" s="363"/>
      <c r="BN257" s="363"/>
      <c r="BO257" s="363"/>
      <c r="BP257" s="363"/>
      <c r="BQ257" s="363"/>
      <c r="BR257" s="363"/>
      <c r="BS257" s="363"/>
      <c r="BT257" s="363"/>
      <c r="BU257" s="363"/>
      <c r="BV257" s="363"/>
    </row>
    <row r="258" spans="2:74" x14ac:dyDescent="0.2">
      <c r="B258" s="86"/>
      <c r="C258" s="304"/>
      <c r="D258" s="304"/>
      <c r="E258" s="362"/>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3"/>
      <c r="BH258" s="363"/>
      <c r="BI258" s="363"/>
      <c r="BJ258" s="363"/>
      <c r="BK258" s="363"/>
      <c r="BL258" s="363"/>
      <c r="BM258" s="363"/>
      <c r="BN258" s="363"/>
      <c r="BO258" s="363"/>
      <c r="BP258" s="363"/>
      <c r="BQ258" s="363"/>
      <c r="BR258" s="363"/>
      <c r="BS258" s="363"/>
      <c r="BT258" s="363"/>
      <c r="BU258" s="363"/>
      <c r="BV258" s="363"/>
    </row>
    <row r="259" spans="2:74" x14ac:dyDescent="0.2">
      <c r="B259" s="86"/>
      <c r="C259" s="304"/>
      <c r="D259" s="304"/>
      <c r="E259" s="362"/>
      <c r="F259" s="363"/>
      <c r="G259" s="363"/>
      <c r="H259" s="363"/>
      <c r="I259" s="363"/>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3"/>
      <c r="BE259" s="363"/>
      <c r="BF259" s="363"/>
      <c r="BG259" s="363"/>
      <c r="BH259" s="363"/>
      <c r="BI259" s="363"/>
      <c r="BJ259" s="363"/>
      <c r="BK259" s="363"/>
      <c r="BL259" s="363"/>
      <c r="BM259" s="363"/>
      <c r="BN259" s="363"/>
      <c r="BO259" s="363"/>
      <c r="BP259" s="363"/>
      <c r="BQ259" s="363"/>
      <c r="BR259" s="363"/>
      <c r="BS259" s="363"/>
      <c r="BT259" s="363"/>
      <c r="BU259" s="363"/>
      <c r="BV259" s="363"/>
    </row>
    <row r="260" spans="2:74" x14ac:dyDescent="0.2">
      <c r="B260" s="86"/>
      <c r="C260" s="304"/>
      <c r="D260" s="304"/>
      <c r="E260" s="362"/>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3"/>
      <c r="BE260" s="363"/>
      <c r="BF260" s="363"/>
      <c r="BG260" s="363"/>
      <c r="BH260" s="363"/>
      <c r="BI260" s="363"/>
      <c r="BJ260" s="363"/>
      <c r="BK260" s="363"/>
      <c r="BL260" s="363"/>
      <c r="BM260" s="363"/>
      <c r="BN260" s="363"/>
      <c r="BO260" s="363"/>
      <c r="BP260" s="363"/>
      <c r="BQ260" s="363"/>
      <c r="BR260" s="363"/>
      <c r="BS260" s="363"/>
      <c r="BT260" s="363"/>
      <c r="BU260" s="363"/>
      <c r="BV260" s="363"/>
    </row>
    <row r="261" spans="2:74" x14ac:dyDescent="0.2">
      <c r="B261" s="86"/>
      <c r="C261" s="304"/>
      <c r="D261" s="304"/>
      <c r="E261" s="362"/>
      <c r="F261" s="363"/>
      <c r="G261" s="363"/>
      <c r="H261" s="363"/>
      <c r="I261" s="363"/>
      <c r="J261" s="363"/>
      <c r="K261" s="363"/>
      <c r="L261" s="363"/>
      <c r="M261" s="363"/>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c r="AS261" s="363"/>
      <c r="AT261" s="363"/>
      <c r="AU261" s="363"/>
      <c r="AV261" s="363"/>
      <c r="AW261" s="363"/>
      <c r="AX261" s="363"/>
      <c r="AY261" s="363"/>
      <c r="AZ261" s="363"/>
      <c r="BA261" s="363"/>
      <c r="BB261" s="363"/>
      <c r="BC261" s="363"/>
      <c r="BD261" s="363"/>
      <c r="BE261" s="363"/>
      <c r="BF261" s="363"/>
      <c r="BG261" s="363"/>
      <c r="BH261" s="363"/>
      <c r="BI261" s="363"/>
      <c r="BJ261" s="363"/>
      <c r="BK261" s="363"/>
      <c r="BL261" s="363"/>
      <c r="BM261" s="363"/>
      <c r="BN261" s="363"/>
      <c r="BO261" s="363"/>
      <c r="BP261" s="363"/>
      <c r="BQ261" s="363"/>
      <c r="BR261" s="363"/>
      <c r="BS261" s="363"/>
      <c r="BT261" s="363"/>
      <c r="BU261" s="363"/>
      <c r="BV261" s="363"/>
    </row>
    <row r="262" spans="2:74" x14ac:dyDescent="0.2">
      <c r="B262" s="86"/>
      <c r="C262" s="304"/>
      <c r="D262" s="304"/>
      <c r="E262" s="362"/>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L262" s="363"/>
      <c r="BM262" s="363"/>
      <c r="BN262" s="363"/>
      <c r="BO262" s="363"/>
      <c r="BP262" s="363"/>
      <c r="BQ262" s="363"/>
      <c r="BR262" s="363"/>
      <c r="BS262" s="363"/>
      <c r="BT262" s="363"/>
      <c r="BU262" s="363"/>
      <c r="BV262" s="363"/>
    </row>
    <row r="263" spans="2:74" x14ac:dyDescent="0.2">
      <c r="B263" s="86"/>
      <c r="C263" s="304"/>
      <c r="D263" s="304"/>
      <c r="E263" s="362"/>
      <c r="F263" s="363"/>
      <c r="G263" s="363"/>
      <c r="H263" s="363"/>
      <c r="I263" s="363"/>
      <c r="J263" s="363"/>
      <c r="K263" s="363"/>
      <c r="L263" s="363"/>
      <c r="M263" s="363"/>
      <c r="N263" s="363"/>
      <c r="O263" s="363"/>
      <c r="P263" s="363"/>
      <c r="Q263" s="363"/>
      <c r="R263" s="363"/>
      <c r="S263" s="363"/>
      <c r="T263" s="363"/>
      <c r="U263" s="363"/>
      <c r="V263" s="363"/>
      <c r="W263" s="363"/>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c r="AS263" s="363"/>
      <c r="AT263" s="363"/>
      <c r="AU263" s="363"/>
      <c r="AV263" s="363"/>
      <c r="AW263" s="363"/>
      <c r="AX263" s="363"/>
      <c r="AY263" s="363"/>
      <c r="AZ263" s="363"/>
      <c r="BA263" s="363"/>
      <c r="BB263" s="363"/>
      <c r="BC263" s="363"/>
      <c r="BD263" s="363"/>
      <c r="BE263" s="363"/>
      <c r="BF263" s="363"/>
      <c r="BG263" s="363"/>
      <c r="BH263" s="363"/>
      <c r="BI263" s="363"/>
      <c r="BJ263" s="363"/>
      <c r="BK263" s="363"/>
      <c r="BL263" s="363"/>
      <c r="BM263" s="363"/>
      <c r="BN263" s="363"/>
      <c r="BO263" s="363"/>
      <c r="BP263" s="363"/>
      <c r="BQ263" s="363"/>
      <c r="BR263" s="363"/>
      <c r="BS263" s="363"/>
      <c r="BT263" s="363"/>
      <c r="BU263" s="363"/>
      <c r="BV263" s="363"/>
    </row>
    <row r="264" spans="2:74" x14ac:dyDescent="0.2">
      <c r="B264" s="86"/>
      <c r="C264" s="86"/>
      <c r="D264" s="86"/>
      <c r="E264" s="362"/>
      <c r="F264" s="363"/>
      <c r="G264" s="363"/>
      <c r="H264" s="363"/>
      <c r="I264" s="363"/>
      <c r="J264" s="363"/>
      <c r="K264" s="363"/>
      <c r="L264" s="363"/>
      <c r="M264" s="363"/>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c r="AS264" s="363"/>
      <c r="AT264" s="363"/>
      <c r="AU264" s="363"/>
      <c r="AV264" s="363"/>
      <c r="AW264" s="363"/>
      <c r="AX264" s="363"/>
      <c r="AY264" s="363"/>
      <c r="AZ264" s="363"/>
      <c r="BA264" s="363"/>
      <c r="BB264" s="363"/>
      <c r="BC264" s="363"/>
      <c r="BD264" s="363"/>
      <c r="BE264" s="363"/>
      <c r="BF264" s="363"/>
      <c r="BG264" s="363"/>
      <c r="BH264" s="363"/>
      <c r="BI264" s="363"/>
      <c r="BJ264" s="363"/>
      <c r="BK264" s="363"/>
      <c r="BL264" s="363"/>
      <c r="BM264" s="363"/>
      <c r="BN264" s="363"/>
      <c r="BO264" s="363"/>
      <c r="BP264" s="363"/>
      <c r="BQ264" s="363"/>
      <c r="BR264" s="363"/>
      <c r="BS264" s="363"/>
      <c r="BT264" s="363"/>
      <c r="BU264" s="363"/>
      <c r="BV264" s="363"/>
    </row>
    <row r="265" spans="2:74" x14ac:dyDescent="0.2">
      <c r="B265" s="86"/>
      <c r="C265" s="304"/>
      <c r="D265" s="304"/>
      <c r="E265" s="362"/>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3"/>
      <c r="AT265" s="363"/>
      <c r="AU265" s="363"/>
      <c r="AV265" s="363"/>
      <c r="AW265" s="363"/>
      <c r="AX265" s="363"/>
      <c r="AY265" s="363"/>
      <c r="AZ265" s="363"/>
      <c r="BA265" s="363"/>
      <c r="BB265" s="363"/>
      <c r="BC265" s="363"/>
      <c r="BD265" s="363"/>
      <c r="BE265" s="363"/>
      <c r="BF265" s="363"/>
      <c r="BG265" s="363"/>
      <c r="BH265" s="363"/>
      <c r="BI265" s="363"/>
      <c r="BJ265" s="363"/>
      <c r="BK265" s="363"/>
      <c r="BL265" s="363"/>
      <c r="BM265" s="363"/>
      <c r="BN265" s="363"/>
      <c r="BO265" s="363"/>
      <c r="BP265" s="363"/>
      <c r="BQ265" s="363"/>
      <c r="BR265" s="363"/>
      <c r="BS265" s="363"/>
      <c r="BT265" s="363"/>
      <c r="BU265" s="363"/>
      <c r="BV265" s="363"/>
    </row>
    <row r="266" spans="2:74" x14ac:dyDescent="0.2">
      <c r="B266" s="314"/>
      <c r="C266" s="304"/>
      <c r="D266" s="304"/>
      <c r="E266" s="362"/>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c r="AS266" s="363"/>
      <c r="AT266" s="363"/>
      <c r="AU266" s="363"/>
      <c r="AV266" s="363"/>
      <c r="AW266" s="363"/>
      <c r="AX266" s="363"/>
      <c r="AY266" s="363"/>
      <c r="AZ266" s="363"/>
      <c r="BA266" s="363"/>
      <c r="BB266" s="363"/>
      <c r="BC266" s="363"/>
      <c r="BD266" s="363"/>
      <c r="BE266" s="363"/>
      <c r="BF266" s="363"/>
      <c r="BG266" s="363"/>
      <c r="BH266" s="363"/>
      <c r="BI266" s="363"/>
      <c r="BJ266" s="363"/>
      <c r="BK266" s="363"/>
      <c r="BL266" s="363"/>
      <c r="BM266" s="363"/>
      <c r="BN266" s="363"/>
      <c r="BO266" s="363"/>
      <c r="BP266" s="363"/>
      <c r="BQ266" s="363"/>
      <c r="BR266" s="363"/>
      <c r="BS266" s="363"/>
      <c r="BT266" s="363"/>
      <c r="BU266" s="363"/>
      <c r="BV266" s="363"/>
    </row>
    <row r="267" spans="2:74" x14ac:dyDescent="0.2">
      <c r="B267" s="86"/>
      <c r="C267" s="304"/>
      <c r="D267" s="304"/>
      <c r="E267" s="362"/>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c r="AS267" s="363"/>
      <c r="AT267" s="363"/>
      <c r="AU267" s="363"/>
      <c r="AV267" s="363"/>
      <c r="AW267" s="363"/>
      <c r="AX267" s="363"/>
      <c r="AY267" s="363"/>
      <c r="AZ267" s="363"/>
      <c r="BA267" s="363"/>
      <c r="BB267" s="363"/>
      <c r="BC267" s="363"/>
      <c r="BD267" s="363"/>
      <c r="BE267" s="363"/>
      <c r="BF267" s="363"/>
      <c r="BG267" s="363"/>
      <c r="BH267" s="363"/>
      <c r="BI267" s="363"/>
      <c r="BJ267" s="363"/>
      <c r="BK267" s="363"/>
      <c r="BL267" s="363"/>
      <c r="BM267" s="363"/>
      <c r="BN267" s="363"/>
      <c r="BO267" s="363"/>
      <c r="BP267" s="363"/>
      <c r="BQ267" s="363"/>
      <c r="BR267" s="363"/>
      <c r="BS267" s="363"/>
      <c r="BT267" s="363"/>
      <c r="BU267" s="363"/>
      <c r="BV267" s="363"/>
    </row>
    <row r="268" spans="2:74" x14ac:dyDescent="0.2">
      <c r="B268" s="86"/>
      <c r="C268" s="304"/>
      <c r="D268" s="304"/>
      <c r="E268" s="362"/>
      <c r="F268" s="363"/>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c r="AS268" s="363"/>
      <c r="AT268" s="363"/>
      <c r="AU268" s="363"/>
      <c r="AV268" s="363"/>
      <c r="AW268" s="363"/>
      <c r="AX268" s="363"/>
      <c r="AY268" s="363"/>
      <c r="AZ268" s="363"/>
      <c r="BA268" s="363"/>
      <c r="BB268" s="363"/>
      <c r="BC268" s="363"/>
      <c r="BD268" s="363"/>
      <c r="BE268" s="363"/>
      <c r="BF268" s="363"/>
      <c r="BG268" s="363"/>
      <c r="BH268" s="363"/>
      <c r="BI268" s="363"/>
      <c r="BJ268" s="363"/>
      <c r="BK268" s="363"/>
      <c r="BL268" s="363"/>
      <c r="BM268" s="363"/>
      <c r="BN268" s="363"/>
      <c r="BO268" s="363"/>
      <c r="BP268" s="363"/>
      <c r="BQ268" s="363"/>
      <c r="BR268" s="363"/>
      <c r="BS268" s="363"/>
      <c r="BT268" s="363"/>
      <c r="BU268" s="363"/>
      <c r="BV268" s="363"/>
    </row>
    <row r="269" spans="2:74" x14ac:dyDescent="0.2">
      <c r="B269" s="86"/>
      <c r="C269" s="304"/>
      <c r="D269" s="304"/>
      <c r="E269" s="362"/>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3"/>
      <c r="AT269" s="363"/>
      <c r="AU269" s="363"/>
      <c r="AV269" s="363"/>
      <c r="AW269" s="363"/>
      <c r="AX269" s="363"/>
      <c r="AY269" s="363"/>
      <c r="AZ269" s="363"/>
      <c r="BA269" s="363"/>
      <c r="BB269" s="363"/>
      <c r="BC269" s="363"/>
      <c r="BD269" s="363"/>
      <c r="BE269" s="363"/>
      <c r="BF269" s="363"/>
      <c r="BG269" s="363"/>
      <c r="BH269" s="363"/>
      <c r="BI269" s="363"/>
      <c r="BJ269" s="363"/>
      <c r="BK269" s="363"/>
      <c r="BL269" s="363"/>
      <c r="BM269" s="363"/>
      <c r="BN269" s="363"/>
      <c r="BO269" s="363"/>
      <c r="BP269" s="363"/>
      <c r="BQ269" s="363"/>
      <c r="BR269" s="363"/>
      <c r="BS269" s="363"/>
      <c r="BT269" s="363"/>
      <c r="BU269" s="363"/>
      <c r="BV269" s="363"/>
    </row>
    <row r="270" spans="2:74" x14ac:dyDescent="0.2">
      <c r="B270" s="86"/>
      <c r="C270" s="304"/>
      <c r="D270" s="304"/>
      <c r="E270" s="362"/>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3"/>
      <c r="BH270" s="363"/>
      <c r="BI270" s="363"/>
      <c r="BJ270" s="363"/>
      <c r="BK270" s="363"/>
      <c r="BL270" s="363"/>
      <c r="BM270" s="363"/>
      <c r="BN270" s="363"/>
      <c r="BO270" s="363"/>
      <c r="BP270" s="363"/>
      <c r="BQ270" s="363"/>
      <c r="BR270" s="363"/>
      <c r="BS270" s="363"/>
      <c r="BT270" s="363"/>
      <c r="BU270" s="363"/>
      <c r="BV270" s="363"/>
    </row>
    <row r="271" spans="2:74" x14ac:dyDescent="0.2">
      <c r="B271" s="86"/>
      <c r="C271" s="304"/>
      <c r="D271" s="304"/>
      <c r="E271" s="362"/>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3"/>
      <c r="AU271" s="363"/>
      <c r="AV271" s="363"/>
      <c r="AW271" s="363"/>
      <c r="AX271" s="363"/>
      <c r="AY271" s="363"/>
      <c r="AZ271" s="363"/>
      <c r="BA271" s="363"/>
      <c r="BB271" s="363"/>
      <c r="BC271" s="363"/>
      <c r="BD271" s="363"/>
      <c r="BE271" s="363"/>
      <c r="BF271" s="363"/>
      <c r="BG271" s="363"/>
      <c r="BH271" s="363"/>
      <c r="BI271" s="363"/>
      <c r="BJ271" s="363"/>
      <c r="BK271" s="363"/>
      <c r="BL271" s="363"/>
      <c r="BM271" s="363"/>
      <c r="BN271" s="363"/>
      <c r="BO271" s="363"/>
      <c r="BP271" s="363"/>
      <c r="BQ271" s="363"/>
      <c r="BR271" s="363"/>
      <c r="BS271" s="363"/>
      <c r="BT271" s="363"/>
      <c r="BU271" s="363"/>
      <c r="BV271" s="363"/>
    </row>
    <row r="272" spans="2:74" x14ac:dyDescent="0.2">
      <c r="B272" s="86"/>
      <c r="C272" s="304"/>
      <c r="D272" s="304"/>
      <c r="E272" s="362"/>
      <c r="F272" s="363"/>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c r="AS272" s="363"/>
      <c r="AT272" s="363"/>
      <c r="AU272" s="363"/>
      <c r="AV272" s="363"/>
      <c r="AW272" s="363"/>
      <c r="AX272" s="363"/>
      <c r="AY272" s="363"/>
      <c r="AZ272" s="363"/>
      <c r="BA272" s="363"/>
      <c r="BB272" s="363"/>
      <c r="BC272" s="363"/>
      <c r="BD272" s="363"/>
      <c r="BE272" s="363"/>
      <c r="BF272" s="363"/>
      <c r="BG272" s="363"/>
      <c r="BH272" s="363"/>
      <c r="BI272" s="363"/>
      <c r="BJ272" s="363"/>
      <c r="BK272" s="363"/>
      <c r="BL272" s="363"/>
      <c r="BM272" s="363"/>
      <c r="BN272" s="363"/>
      <c r="BO272" s="363"/>
      <c r="BP272" s="363"/>
      <c r="BQ272" s="363"/>
      <c r="BR272" s="363"/>
      <c r="BS272" s="363"/>
      <c r="BT272" s="363"/>
      <c r="BU272" s="363"/>
      <c r="BV272" s="363"/>
    </row>
    <row r="273" spans="2:74" x14ac:dyDescent="0.2">
      <c r="B273" s="86"/>
      <c r="C273" s="304"/>
      <c r="D273" s="304"/>
      <c r="E273" s="362"/>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c r="AS273" s="363"/>
      <c r="AT273" s="363"/>
      <c r="AU273" s="363"/>
      <c r="AV273" s="363"/>
      <c r="AW273" s="363"/>
      <c r="AX273" s="363"/>
      <c r="AY273" s="363"/>
      <c r="AZ273" s="363"/>
      <c r="BA273" s="363"/>
      <c r="BB273" s="363"/>
      <c r="BC273" s="363"/>
      <c r="BD273" s="363"/>
      <c r="BE273" s="363"/>
      <c r="BF273" s="363"/>
      <c r="BG273" s="363"/>
      <c r="BH273" s="363"/>
      <c r="BI273" s="363"/>
      <c r="BJ273" s="363"/>
      <c r="BK273" s="363"/>
      <c r="BL273" s="363"/>
      <c r="BM273" s="363"/>
      <c r="BN273" s="363"/>
      <c r="BO273" s="363"/>
      <c r="BP273" s="363"/>
      <c r="BQ273" s="363"/>
      <c r="BR273" s="363"/>
      <c r="BS273" s="363"/>
      <c r="BT273" s="363"/>
      <c r="BU273" s="363"/>
      <c r="BV273" s="363"/>
    </row>
    <row r="274" spans="2:74" x14ac:dyDescent="0.2">
      <c r="B274" s="86"/>
      <c r="C274" s="304"/>
      <c r="D274" s="304"/>
      <c r="E274" s="362"/>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3"/>
      <c r="AW274" s="363"/>
      <c r="AX274" s="363"/>
      <c r="AY274" s="363"/>
      <c r="AZ274" s="363"/>
      <c r="BA274" s="363"/>
      <c r="BB274" s="363"/>
      <c r="BC274" s="363"/>
      <c r="BD274" s="363"/>
      <c r="BE274" s="363"/>
      <c r="BF274" s="363"/>
      <c r="BG274" s="363"/>
      <c r="BH274" s="363"/>
      <c r="BI274" s="363"/>
      <c r="BJ274" s="363"/>
      <c r="BK274" s="363"/>
      <c r="BL274" s="363"/>
      <c r="BM274" s="363"/>
      <c r="BN274" s="363"/>
      <c r="BO274" s="363"/>
      <c r="BP274" s="363"/>
      <c r="BQ274" s="363"/>
      <c r="BR274" s="363"/>
      <c r="BS274" s="363"/>
      <c r="BT274" s="363"/>
      <c r="BU274" s="363"/>
      <c r="BV274" s="363"/>
    </row>
    <row r="275" spans="2:74" x14ac:dyDescent="0.2">
      <c r="B275" s="86"/>
      <c r="C275" s="304"/>
      <c r="D275" s="304"/>
      <c r="E275" s="362"/>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c r="AS275" s="363"/>
      <c r="AT275" s="363"/>
      <c r="AU275" s="363"/>
      <c r="AV275" s="363"/>
      <c r="AW275" s="363"/>
      <c r="AX275" s="363"/>
      <c r="AY275" s="363"/>
      <c r="AZ275" s="363"/>
      <c r="BA275" s="363"/>
      <c r="BB275" s="363"/>
      <c r="BC275" s="363"/>
      <c r="BD275" s="363"/>
      <c r="BE275" s="363"/>
      <c r="BF275" s="363"/>
      <c r="BG275" s="363"/>
      <c r="BH275" s="363"/>
      <c r="BI275" s="363"/>
      <c r="BJ275" s="363"/>
      <c r="BK275" s="363"/>
      <c r="BL275" s="363"/>
      <c r="BM275" s="363"/>
      <c r="BN275" s="363"/>
      <c r="BO275" s="363"/>
      <c r="BP275" s="363"/>
      <c r="BQ275" s="363"/>
      <c r="BR275" s="363"/>
      <c r="BS275" s="363"/>
      <c r="BT275" s="363"/>
      <c r="BU275" s="363"/>
      <c r="BV275" s="363"/>
    </row>
    <row r="276" spans="2:74" x14ac:dyDescent="0.2">
      <c r="B276" s="86"/>
      <c r="C276" s="86"/>
      <c r="D276" s="86"/>
      <c r="E276" s="362"/>
      <c r="F276" s="363"/>
      <c r="G276" s="363"/>
      <c r="H276" s="363"/>
      <c r="I276" s="363"/>
      <c r="J276" s="363"/>
      <c r="K276" s="363"/>
      <c r="L276" s="363"/>
      <c r="M276" s="363"/>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c r="AS276" s="363"/>
      <c r="AT276" s="363"/>
      <c r="AU276" s="363"/>
      <c r="AV276" s="363"/>
      <c r="AW276" s="363"/>
      <c r="AX276" s="363"/>
      <c r="AY276" s="363"/>
      <c r="AZ276" s="363"/>
      <c r="BA276" s="363"/>
      <c r="BB276" s="363"/>
      <c r="BC276" s="363"/>
      <c r="BD276" s="363"/>
      <c r="BE276" s="363"/>
      <c r="BF276" s="363"/>
      <c r="BG276" s="363"/>
      <c r="BH276" s="363"/>
      <c r="BI276" s="363"/>
      <c r="BJ276" s="363"/>
      <c r="BK276" s="363"/>
      <c r="BL276" s="363"/>
      <c r="BM276" s="363"/>
      <c r="BN276" s="363"/>
      <c r="BO276" s="363"/>
      <c r="BP276" s="363"/>
      <c r="BQ276" s="363"/>
      <c r="BR276" s="363"/>
      <c r="BS276" s="363"/>
      <c r="BT276" s="363"/>
      <c r="BU276" s="363"/>
      <c r="BV276" s="363"/>
    </row>
    <row r="277" spans="2:74" x14ac:dyDescent="0.2">
      <c r="B277" s="86"/>
      <c r="C277" s="304"/>
      <c r="D277" s="304"/>
      <c r="E277" s="362"/>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3"/>
      <c r="AT277" s="363"/>
      <c r="AU277" s="363"/>
      <c r="AV277" s="363"/>
      <c r="AW277" s="363"/>
      <c r="AX277" s="363"/>
      <c r="AY277" s="363"/>
      <c r="AZ277" s="363"/>
      <c r="BA277" s="363"/>
      <c r="BB277" s="363"/>
      <c r="BC277" s="363"/>
      <c r="BD277" s="363"/>
      <c r="BE277" s="363"/>
      <c r="BF277" s="363"/>
      <c r="BG277" s="363"/>
      <c r="BH277" s="363"/>
      <c r="BI277" s="363"/>
      <c r="BJ277" s="363"/>
      <c r="BK277" s="363"/>
      <c r="BL277" s="363"/>
      <c r="BM277" s="363"/>
      <c r="BN277" s="363"/>
      <c r="BO277" s="363"/>
      <c r="BP277" s="363"/>
      <c r="BQ277" s="363"/>
      <c r="BR277" s="363"/>
      <c r="BS277" s="363"/>
      <c r="BT277" s="363"/>
      <c r="BU277" s="363"/>
      <c r="BV277" s="363"/>
    </row>
    <row r="278" spans="2:74" x14ac:dyDescent="0.2">
      <c r="B278" s="86"/>
      <c r="C278" s="304"/>
      <c r="D278" s="304"/>
      <c r="E278" s="362"/>
      <c r="F278" s="363"/>
      <c r="G278" s="363"/>
      <c r="H278" s="363"/>
      <c r="I278" s="363"/>
      <c r="J278" s="363"/>
      <c r="K278" s="363"/>
      <c r="L278" s="363"/>
      <c r="M278" s="363"/>
      <c r="N278" s="363"/>
      <c r="O278" s="363"/>
      <c r="P278" s="363"/>
      <c r="Q278" s="363"/>
      <c r="R278" s="363"/>
      <c r="S278" s="363"/>
      <c r="T278" s="363"/>
      <c r="U278" s="363"/>
      <c r="V278" s="363"/>
      <c r="W278" s="363"/>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c r="AS278" s="363"/>
      <c r="AT278" s="363"/>
      <c r="AU278" s="363"/>
      <c r="AV278" s="363"/>
      <c r="AW278" s="363"/>
      <c r="AX278" s="363"/>
      <c r="AY278" s="363"/>
      <c r="AZ278" s="363"/>
      <c r="BA278" s="363"/>
      <c r="BB278" s="363"/>
      <c r="BC278" s="363"/>
      <c r="BD278" s="363"/>
      <c r="BE278" s="363"/>
      <c r="BF278" s="363"/>
      <c r="BG278" s="363"/>
      <c r="BH278" s="363"/>
      <c r="BI278" s="363"/>
      <c r="BJ278" s="363"/>
      <c r="BK278" s="363"/>
      <c r="BL278" s="363"/>
      <c r="BM278" s="363"/>
      <c r="BN278" s="363"/>
      <c r="BO278" s="363"/>
      <c r="BP278" s="363"/>
      <c r="BQ278" s="363"/>
      <c r="BR278" s="363"/>
      <c r="BS278" s="363"/>
      <c r="BT278" s="363"/>
      <c r="BU278" s="363"/>
      <c r="BV278" s="363"/>
    </row>
    <row r="279" spans="2:74" x14ac:dyDescent="0.2">
      <c r="B279" s="86"/>
      <c r="C279" s="304"/>
      <c r="D279" s="304"/>
      <c r="E279" s="362"/>
      <c r="F279" s="363"/>
      <c r="G279" s="363"/>
      <c r="H279" s="363"/>
      <c r="I279" s="363"/>
      <c r="J279" s="363"/>
      <c r="K279" s="363"/>
      <c r="L279" s="363"/>
      <c r="M279" s="363"/>
      <c r="N279" s="363"/>
      <c r="O279" s="363"/>
      <c r="P279" s="363"/>
      <c r="Q279" s="363"/>
      <c r="R279" s="363"/>
      <c r="S279" s="363"/>
      <c r="T279" s="363"/>
      <c r="U279" s="363"/>
      <c r="V279" s="363"/>
      <c r="W279" s="363"/>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c r="AS279" s="363"/>
      <c r="AT279" s="363"/>
      <c r="AU279" s="363"/>
      <c r="AV279" s="363"/>
      <c r="AW279" s="363"/>
      <c r="AX279" s="363"/>
      <c r="AY279" s="363"/>
      <c r="AZ279" s="363"/>
      <c r="BA279" s="363"/>
      <c r="BB279" s="363"/>
      <c r="BC279" s="363"/>
      <c r="BD279" s="363"/>
      <c r="BE279" s="363"/>
      <c r="BF279" s="363"/>
      <c r="BG279" s="363"/>
      <c r="BH279" s="363"/>
      <c r="BI279" s="363"/>
      <c r="BJ279" s="363"/>
      <c r="BK279" s="363"/>
      <c r="BL279" s="363"/>
      <c r="BM279" s="363"/>
      <c r="BN279" s="363"/>
      <c r="BO279" s="363"/>
      <c r="BP279" s="363"/>
      <c r="BQ279" s="363"/>
      <c r="BR279" s="363"/>
      <c r="BS279" s="363"/>
      <c r="BT279" s="363"/>
      <c r="BU279" s="363"/>
      <c r="BV279" s="363"/>
    </row>
    <row r="280" spans="2:74" x14ac:dyDescent="0.2">
      <c r="B280" s="86"/>
      <c r="C280" s="304"/>
      <c r="D280" s="304"/>
      <c r="E280" s="362"/>
      <c r="F280" s="363"/>
      <c r="G280" s="363"/>
      <c r="H280" s="363"/>
      <c r="I280" s="363"/>
      <c r="J280" s="363"/>
      <c r="K280" s="363"/>
      <c r="L280" s="363"/>
      <c r="M280" s="363"/>
      <c r="N280" s="363"/>
      <c r="O280" s="363"/>
      <c r="P280" s="363"/>
      <c r="Q280" s="363"/>
      <c r="R280" s="363"/>
      <c r="S280" s="363"/>
      <c r="T280" s="363"/>
      <c r="U280" s="363"/>
      <c r="V280" s="363"/>
      <c r="W280" s="363"/>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c r="AS280" s="363"/>
      <c r="AT280" s="363"/>
      <c r="AU280" s="363"/>
      <c r="AV280" s="363"/>
      <c r="AW280" s="363"/>
      <c r="AX280" s="363"/>
      <c r="AY280" s="363"/>
      <c r="AZ280" s="363"/>
      <c r="BA280" s="363"/>
      <c r="BB280" s="363"/>
      <c r="BC280" s="363"/>
      <c r="BD280" s="363"/>
      <c r="BE280" s="363"/>
      <c r="BF280" s="363"/>
      <c r="BG280" s="363"/>
      <c r="BH280" s="363"/>
      <c r="BI280" s="363"/>
      <c r="BJ280" s="363"/>
      <c r="BK280" s="363"/>
      <c r="BL280" s="363"/>
      <c r="BM280" s="363"/>
      <c r="BN280" s="363"/>
      <c r="BO280" s="363"/>
      <c r="BP280" s="363"/>
      <c r="BQ280" s="363"/>
      <c r="BR280" s="363"/>
      <c r="BS280" s="363"/>
      <c r="BT280" s="363"/>
      <c r="BU280" s="363"/>
      <c r="BV280" s="363"/>
    </row>
    <row r="281" spans="2:74" x14ac:dyDescent="0.2">
      <c r="B281" s="86"/>
      <c r="C281" s="304"/>
      <c r="D281" s="304"/>
      <c r="E281" s="362"/>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c r="AS281" s="363"/>
      <c r="AT281" s="363"/>
      <c r="AU281" s="363"/>
      <c r="AV281" s="363"/>
      <c r="AW281" s="363"/>
      <c r="AX281" s="363"/>
      <c r="AY281" s="363"/>
      <c r="AZ281" s="363"/>
      <c r="BA281" s="363"/>
      <c r="BB281" s="363"/>
      <c r="BC281" s="363"/>
      <c r="BD281" s="363"/>
      <c r="BE281" s="363"/>
      <c r="BF281" s="363"/>
      <c r="BG281" s="363"/>
      <c r="BH281" s="363"/>
      <c r="BI281" s="363"/>
      <c r="BJ281" s="363"/>
      <c r="BK281" s="363"/>
      <c r="BL281" s="363"/>
      <c r="BM281" s="363"/>
      <c r="BN281" s="363"/>
      <c r="BO281" s="363"/>
      <c r="BP281" s="363"/>
      <c r="BQ281" s="363"/>
      <c r="BR281" s="363"/>
      <c r="BS281" s="363"/>
      <c r="BT281" s="363"/>
      <c r="BU281" s="363"/>
      <c r="BV281" s="363"/>
    </row>
    <row r="282" spans="2:74" x14ac:dyDescent="0.2">
      <c r="B282" s="86"/>
      <c r="C282" s="304"/>
      <c r="D282" s="304"/>
      <c r="E282" s="362"/>
      <c r="F282" s="363"/>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c r="AS282" s="363"/>
      <c r="AT282" s="363"/>
      <c r="AU282" s="363"/>
      <c r="AV282" s="363"/>
      <c r="AW282" s="363"/>
      <c r="AX282" s="363"/>
      <c r="AY282" s="363"/>
      <c r="AZ282" s="363"/>
      <c r="BA282" s="363"/>
      <c r="BB282" s="363"/>
      <c r="BC282" s="363"/>
      <c r="BD282" s="363"/>
      <c r="BE282" s="363"/>
      <c r="BF282" s="363"/>
      <c r="BG282" s="363"/>
      <c r="BH282" s="363"/>
      <c r="BI282" s="363"/>
      <c r="BJ282" s="363"/>
      <c r="BK282" s="363"/>
      <c r="BL282" s="363"/>
      <c r="BM282" s="363"/>
      <c r="BN282" s="363"/>
      <c r="BO282" s="363"/>
      <c r="BP282" s="363"/>
      <c r="BQ282" s="363"/>
      <c r="BR282" s="363"/>
      <c r="BS282" s="363"/>
      <c r="BT282" s="363"/>
      <c r="BU282" s="363"/>
      <c r="BV282" s="363"/>
    </row>
    <row r="283" spans="2:74" x14ac:dyDescent="0.2">
      <c r="B283" s="86"/>
      <c r="C283" s="304"/>
      <c r="D283" s="304"/>
      <c r="E283" s="362"/>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3"/>
      <c r="AT283" s="363"/>
      <c r="AU283" s="363"/>
      <c r="AV283" s="363"/>
      <c r="AW283" s="363"/>
      <c r="AX283" s="363"/>
      <c r="AY283" s="363"/>
      <c r="AZ283" s="363"/>
      <c r="BA283" s="363"/>
      <c r="BB283" s="363"/>
      <c r="BC283" s="363"/>
      <c r="BD283" s="363"/>
      <c r="BE283" s="363"/>
      <c r="BF283" s="363"/>
      <c r="BG283" s="363"/>
      <c r="BH283" s="363"/>
      <c r="BI283" s="363"/>
      <c r="BJ283" s="363"/>
      <c r="BK283" s="363"/>
      <c r="BL283" s="363"/>
      <c r="BM283" s="363"/>
      <c r="BN283" s="363"/>
      <c r="BO283" s="363"/>
      <c r="BP283" s="363"/>
      <c r="BQ283" s="363"/>
      <c r="BR283" s="363"/>
      <c r="BS283" s="363"/>
      <c r="BT283" s="363"/>
      <c r="BU283" s="363"/>
      <c r="BV283" s="363"/>
    </row>
    <row r="284" spans="2:74" x14ac:dyDescent="0.2">
      <c r="B284" s="86"/>
      <c r="C284" s="304"/>
      <c r="D284" s="304"/>
      <c r="E284" s="362"/>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c r="AS284" s="363"/>
      <c r="AT284" s="363"/>
      <c r="AU284" s="363"/>
      <c r="AV284" s="363"/>
      <c r="AW284" s="363"/>
      <c r="AX284" s="363"/>
      <c r="AY284" s="363"/>
      <c r="AZ284" s="363"/>
      <c r="BA284" s="363"/>
      <c r="BB284" s="363"/>
      <c r="BC284" s="363"/>
      <c r="BD284" s="363"/>
      <c r="BE284" s="363"/>
      <c r="BF284" s="363"/>
      <c r="BG284" s="363"/>
      <c r="BH284" s="363"/>
      <c r="BI284" s="363"/>
      <c r="BJ284" s="363"/>
      <c r="BK284" s="363"/>
      <c r="BL284" s="363"/>
      <c r="BM284" s="363"/>
      <c r="BN284" s="363"/>
      <c r="BO284" s="363"/>
      <c r="BP284" s="363"/>
      <c r="BQ284" s="363"/>
      <c r="BR284" s="363"/>
      <c r="BS284" s="363"/>
      <c r="BT284" s="363"/>
      <c r="BU284" s="363"/>
      <c r="BV284" s="363"/>
    </row>
    <row r="285" spans="2:74" x14ac:dyDescent="0.2">
      <c r="B285" s="86"/>
      <c r="C285" s="304"/>
      <c r="D285" s="304"/>
      <c r="E285" s="362"/>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363"/>
      <c r="BM285" s="363"/>
      <c r="BN285" s="363"/>
      <c r="BO285" s="363"/>
      <c r="BP285" s="363"/>
      <c r="BQ285" s="363"/>
      <c r="BR285" s="363"/>
      <c r="BS285" s="363"/>
      <c r="BT285" s="363"/>
      <c r="BU285" s="363"/>
      <c r="BV285" s="363"/>
    </row>
    <row r="286" spans="2:74" x14ac:dyDescent="0.2">
      <c r="B286" s="86"/>
      <c r="C286" s="304"/>
      <c r="D286" s="304"/>
      <c r="E286" s="362"/>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363"/>
      <c r="BM286" s="363"/>
      <c r="BN286" s="363"/>
      <c r="BO286" s="363"/>
      <c r="BP286" s="363"/>
      <c r="BQ286" s="363"/>
      <c r="BR286" s="363"/>
      <c r="BS286" s="363"/>
      <c r="BT286" s="363"/>
      <c r="BU286" s="363"/>
      <c r="BV286" s="363"/>
    </row>
    <row r="287" spans="2:74" x14ac:dyDescent="0.2">
      <c r="B287" s="86"/>
      <c r="C287" s="304"/>
      <c r="D287" s="304"/>
      <c r="E287" s="362"/>
      <c r="F287" s="363"/>
      <c r="G287" s="363"/>
      <c r="H287" s="363"/>
      <c r="I287" s="363"/>
      <c r="J287" s="363"/>
      <c r="K287" s="363"/>
      <c r="L287" s="363"/>
      <c r="M287" s="363"/>
      <c r="N287" s="363"/>
      <c r="O287" s="363"/>
      <c r="P287" s="363"/>
      <c r="Q287" s="363"/>
      <c r="R287" s="363"/>
      <c r="S287" s="363"/>
      <c r="T287" s="363"/>
      <c r="U287" s="363"/>
      <c r="V287" s="363"/>
      <c r="W287" s="363"/>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c r="AS287" s="363"/>
      <c r="AT287" s="363"/>
      <c r="AU287" s="363"/>
      <c r="AV287" s="363"/>
      <c r="AW287" s="363"/>
      <c r="AX287" s="363"/>
      <c r="AY287" s="363"/>
      <c r="AZ287" s="363"/>
      <c r="BA287" s="363"/>
      <c r="BB287" s="363"/>
      <c r="BC287" s="363"/>
      <c r="BD287" s="363"/>
      <c r="BE287" s="363"/>
      <c r="BF287" s="363"/>
      <c r="BG287" s="363"/>
      <c r="BH287" s="363"/>
      <c r="BI287" s="363"/>
      <c r="BJ287" s="363"/>
      <c r="BK287" s="363"/>
      <c r="BL287" s="363"/>
      <c r="BM287" s="363"/>
      <c r="BN287" s="363"/>
      <c r="BO287" s="363"/>
      <c r="BP287" s="363"/>
      <c r="BQ287" s="363"/>
      <c r="BR287" s="363"/>
      <c r="BS287" s="363"/>
      <c r="BT287" s="363"/>
      <c r="BU287" s="363"/>
      <c r="BV287" s="363"/>
    </row>
    <row r="288" spans="2:74" x14ac:dyDescent="0.2">
      <c r="B288" s="86"/>
      <c r="C288" s="304"/>
      <c r="D288" s="304"/>
      <c r="E288" s="362"/>
      <c r="F288" s="363"/>
      <c r="G288" s="363"/>
      <c r="H288" s="363"/>
      <c r="I288" s="363"/>
      <c r="J288" s="363"/>
      <c r="K288" s="363"/>
      <c r="L288" s="363"/>
      <c r="M288" s="363"/>
      <c r="N288" s="363"/>
      <c r="O288" s="363"/>
      <c r="P288" s="363"/>
      <c r="Q288" s="363"/>
      <c r="R288" s="363"/>
      <c r="S288" s="363"/>
      <c r="T288" s="363"/>
      <c r="U288" s="363"/>
      <c r="V288" s="363"/>
      <c r="W288" s="363"/>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c r="AS288" s="363"/>
      <c r="AT288" s="363"/>
      <c r="AU288" s="363"/>
      <c r="AV288" s="363"/>
      <c r="AW288" s="363"/>
      <c r="AX288" s="363"/>
      <c r="AY288" s="363"/>
      <c r="AZ288" s="363"/>
      <c r="BA288" s="363"/>
      <c r="BB288" s="363"/>
      <c r="BC288" s="363"/>
      <c r="BD288" s="363"/>
      <c r="BE288" s="363"/>
      <c r="BF288" s="363"/>
      <c r="BG288" s="363"/>
      <c r="BH288" s="363"/>
      <c r="BI288" s="363"/>
      <c r="BJ288" s="363"/>
      <c r="BK288" s="363"/>
      <c r="BL288" s="363"/>
      <c r="BM288" s="363"/>
      <c r="BN288" s="363"/>
      <c r="BO288" s="363"/>
      <c r="BP288" s="363"/>
      <c r="BQ288" s="363"/>
      <c r="BR288" s="363"/>
      <c r="BS288" s="363"/>
      <c r="BT288" s="363"/>
      <c r="BU288" s="363"/>
      <c r="BV288" s="363"/>
    </row>
    <row r="289" spans="2:74" x14ac:dyDescent="0.2">
      <c r="B289" s="86"/>
      <c r="C289" s="86"/>
      <c r="D289" s="86"/>
      <c r="E289" s="362"/>
      <c r="F289" s="363"/>
      <c r="G289" s="363"/>
      <c r="H289" s="363"/>
      <c r="I289" s="363"/>
      <c r="J289" s="363"/>
      <c r="K289" s="363"/>
      <c r="L289" s="363"/>
      <c r="M289" s="363"/>
      <c r="N289" s="363"/>
      <c r="O289" s="363"/>
      <c r="P289" s="363"/>
      <c r="Q289" s="363"/>
      <c r="R289" s="363"/>
      <c r="S289" s="363"/>
      <c r="T289" s="363"/>
      <c r="U289" s="363"/>
      <c r="V289" s="363"/>
      <c r="W289" s="363"/>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c r="AS289" s="363"/>
      <c r="AT289" s="363"/>
      <c r="AU289" s="363"/>
      <c r="AV289" s="363"/>
      <c r="AW289" s="363"/>
      <c r="AX289" s="363"/>
      <c r="AY289" s="363"/>
      <c r="AZ289" s="363"/>
      <c r="BA289" s="363"/>
      <c r="BB289" s="363"/>
      <c r="BC289" s="363"/>
      <c r="BD289" s="363"/>
      <c r="BE289" s="363"/>
      <c r="BF289" s="363"/>
      <c r="BG289" s="363"/>
      <c r="BH289" s="363"/>
      <c r="BI289" s="363"/>
      <c r="BJ289" s="363"/>
      <c r="BK289" s="363"/>
      <c r="BL289" s="363"/>
      <c r="BM289" s="363"/>
      <c r="BN289" s="363"/>
      <c r="BO289" s="363"/>
      <c r="BP289" s="363"/>
      <c r="BQ289" s="363"/>
      <c r="BR289" s="363"/>
      <c r="BS289" s="363"/>
      <c r="BT289" s="363"/>
      <c r="BU289" s="363"/>
      <c r="BV289" s="363"/>
    </row>
    <row r="290" spans="2:74" x14ac:dyDescent="0.2">
      <c r="B290" s="86"/>
      <c r="C290" s="86"/>
      <c r="D290" s="86"/>
      <c r="E290" s="362"/>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c r="AS290" s="363"/>
      <c r="AT290" s="363"/>
      <c r="AU290" s="363"/>
      <c r="AV290" s="363"/>
      <c r="AW290" s="363"/>
      <c r="AX290" s="363"/>
      <c r="AY290" s="363"/>
      <c r="AZ290" s="363"/>
      <c r="BA290" s="363"/>
      <c r="BB290" s="363"/>
      <c r="BC290" s="363"/>
      <c r="BD290" s="363"/>
      <c r="BE290" s="363"/>
      <c r="BF290" s="363"/>
      <c r="BG290" s="363"/>
      <c r="BH290" s="363"/>
      <c r="BI290" s="363"/>
      <c r="BJ290" s="363"/>
      <c r="BK290" s="363"/>
      <c r="BL290" s="363"/>
      <c r="BM290" s="363"/>
      <c r="BN290" s="363"/>
      <c r="BO290" s="363"/>
      <c r="BP290" s="363"/>
      <c r="BQ290" s="363"/>
      <c r="BR290" s="363"/>
      <c r="BS290" s="363"/>
      <c r="BT290" s="363"/>
      <c r="BU290" s="363"/>
      <c r="BV290" s="363"/>
    </row>
    <row r="291" spans="2:74" x14ac:dyDescent="0.2">
      <c r="B291" s="86"/>
      <c r="C291" s="304"/>
      <c r="D291" s="304"/>
      <c r="E291" s="362"/>
      <c r="F291" s="363"/>
      <c r="G291" s="363"/>
      <c r="H291" s="363"/>
      <c r="I291" s="363"/>
      <c r="J291" s="363"/>
      <c r="K291" s="363"/>
      <c r="L291" s="363"/>
      <c r="M291" s="363"/>
      <c r="N291" s="363"/>
      <c r="O291" s="363"/>
      <c r="P291" s="363"/>
      <c r="Q291" s="363"/>
      <c r="R291" s="363"/>
      <c r="S291" s="363"/>
      <c r="T291" s="363"/>
      <c r="U291" s="363"/>
      <c r="V291" s="363"/>
      <c r="W291" s="363"/>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c r="AS291" s="363"/>
      <c r="AT291" s="363"/>
      <c r="AU291" s="363"/>
      <c r="AV291" s="363"/>
      <c r="AW291" s="363"/>
      <c r="AX291" s="363"/>
      <c r="AY291" s="363"/>
      <c r="AZ291" s="363"/>
      <c r="BA291" s="363"/>
      <c r="BB291" s="363"/>
      <c r="BC291" s="363"/>
      <c r="BD291" s="363"/>
      <c r="BE291" s="363"/>
      <c r="BF291" s="363"/>
      <c r="BG291" s="363"/>
      <c r="BH291" s="363"/>
      <c r="BI291" s="363"/>
      <c r="BJ291" s="363"/>
      <c r="BK291" s="363"/>
      <c r="BL291" s="363"/>
      <c r="BM291" s="363"/>
      <c r="BN291" s="363"/>
      <c r="BO291" s="363"/>
      <c r="BP291" s="363"/>
      <c r="BQ291" s="363"/>
      <c r="BR291" s="363"/>
      <c r="BS291" s="363"/>
      <c r="BT291" s="363"/>
      <c r="BU291" s="363"/>
      <c r="BV291" s="363"/>
    </row>
    <row r="292" spans="2:74" x14ac:dyDescent="0.2">
      <c r="B292" s="86"/>
      <c r="C292" s="304"/>
      <c r="D292" s="304"/>
      <c r="E292" s="362"/>
      <c r="F292" s="363"/>
      <c r="G292" s="363"/>
      <c r="H292" s="363"/>
      <c r="I292" s="363"/>
      <c r="J292" s="363"/>
      <c r="K292" s="363"/>
      <c r="L292" s="363"/>
      <c r="M292" s="363"/>
      <c r="N292" s="363"/>
      <c r="O292" s="363"/>
      <c r="P292" s="363"/>
      <c r="Q292" s="363"/>
      <c r="R292" s="363"/>
      <c r="S292" s="363"/>
      <c r="T292" s="363"/>
      <c r="U292" s="363"/>
      <c r="V292" s="363"/>
      <c r="W292" s="363"/>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c r="AS292" s="363"/>
      <c r="AT292" s="363"/>
      <c r="AU292" s="363"/>
      <c r="AV292" s="363"/>
      <c r="AW292" s="363"/>
      <c r="AX292" s="363"/>
      <c r="AY292" s="363"/>
      <c r="AZ292" s="363"/>
      <c r="BA292" s="363"/>
      <c r="BB292" s="363"/>
      <c r="BC292" s="363"/>
      <c r="BD292" s="363"/>
      <c r="BE292" s="363"/>
      <c r="BF292" s="363"/>
      <c r="BG292" s="363"/>
      <c r="BH292" s="363"/>
      <c r="BI292" s="363"/>
      <c r="BJ292" s="363"/>
      <c r="BK292" s="363"/>
      <c r="BL292" s="363"/>
      <c r="BM292" s="363"/>
      <c r="BN292" s="363"/>
      <c r="BO292" s="363"/>
      <c r="BP292" s="363"/>
      <c r="BQ292" s="363"/>
      <c r="BR292" s="363"/>
      <c r="BS292" s="363"/>
      <c r="BT292" s="363"/>
      <c r="BU292" s="363"/>
      <c r="BV292" s="363"/>
    </row>
    <row r="293" spans="2:74" x14ac:dyDescent="0.2">
      <c r="B293" s="86"/>
      <c r="C293" s="304"/>
      <c r="D293" s="304"/>
      <c r="E293" s="362"/>
      <c r="F293" s="363"/>
      <c r="G293" s="363"/>
      <c r="H293" s="363"/>
      <c r="I293" s="363"/>
      <c r="J293" s="363"/>
      <c r="K293" s="363"/>
      <c r="L293" s="363"/>
      <c r="M293" s="363"/>
      <c r="N293" s="363"/>
      <c r="O293" s="363"/>
      <c r="P293" s="363"/>
      <c r="Q293" s="363"/>
      <c r="R293" s="363"/>
      <c r="S293" s="363"/>
      <c r="T293" s="363"/>
      <c r="U293" s="363"/>
      <c r="V293" s="363"/>
      <c r="W293" s="363"/>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c r="AS293" s="363"/>
      <c r="AT293" s="363"/>
      <c r="AU293" s="363"/>
      <c r="AV293" s="363"/>
      <c r="AW293" s="363"/>
      <c r="AX293" s="363"/>
      <c r="AY293" s="363"/>
      <c r="AZ293" s="363"/>
      <c r="BA293" s="363"/>
      <c r="BB293" s="363"/>
      <c r="BC293" s="363"/>
      <c r="BD293" s="363"/>
      <c r="BE293" s="363"/>
      <c r="BF293" s="363"/>
      <c r="BG293" s="363"/>
      <c r="BH293" s="363"/>
      <c r="BI293" s="363"/>
      <c r="BJ293" s="363"/>
      <c r="BK293" s="363"/>
      <c r="BL293" s="363"/>
      <c r="BM293" s="363"/>
      <c r="BN293" s="363"/>
      <c r="BO293" s="363"/>
      <c r="BP293" s="363"/>
      <c r="BQ293" s="363"/>
      <c r="BR293" s="363"/>
      <c r="BS293" s="363"/>
      <c r="BT293" s="363"/>
      <c r="BU293" s="363"/>
      <c r="BV293" s="363"/>
    </row>
    <row r="294" spans="2:74" x14ac:dyDescent="0.2">
      <c r="B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row>
    <row r="295" spans="2:74" x14ac:dyDescent="0.2">
      <c r="B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row>
    <row r="296" spans="2:74" x14ac:dyDescent="0.2">
      <c r="B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row>
    <row r="297" spans="2:74" x14ac:dyDescent="0.2">
      <c r="B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row>
    <row r="298" spans="2:74" x14ac:dyDescent="0.2">
      <c r="B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0"/>
      <c r="BR298" s="280"/>
      <c r="BS298" s="280"/>
      <c r="BT298" s="280"/>
      <c r="BU298" s="280"/>
      <c r="BV298" s="280"/>
    </row>
    <row r="299" spans="2:74" x14ac:dyDescent="0.2">
      <c r="B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c r="AA299" s="280"/>
      <c r="AB299" s="280"/>
      <c r="AC299" s="280"/>
      <c r="AD299" s="280"/>
      <c r="AE299" s="280"/>
      <c r="AF299" s="280"/>
      <c r="AG299" s="280"/>
      <c r="AH299" s="280"/>
      <c r="AI299" s="280"/>
      <c r="AJ299" s="280"/>
      <c r="AK299" s="280"/>
      <c r="AL299" s="280"/>
      <c r="AM299" s="280"/>
      <c r="AN299" s="280"/>
      <c r="AO299" s="280"/>
      <c r="AP299" s="280"/>
      <c r="AQ299" s="280"/>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280"/>
      <c r="BP299" s="280"/>
      <c r="BQ299" s="280"/>
      <c r="BR299" s="280"/>
      <c r="BS299" s="280"/>
      <c r="BT299" s="280"/>
      <c r="BU299" s="280"/>
      <c r="BV299" s="280"/>
    </row>
    <row r="300" spans="2:74" x14ac:dyDescent="0.2">
      <c r="B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280"/>
      <c r="BK300" s="280"/>
      <c r="BL300" s="280"/>
      <c r="BM300" s="280"/>
      <c r="BN300" s="280"/>
      <c r="BO300" s="280"/>
      <c r="BP300" s="280"/>
      <c r="BQ300" s="280"/>
      <c r="BR300" s="280"/>
      <c r="BS300" s="280"/>
      <c r="BT300" s="280"/>
      <c r="BU300" s="280"/>
      <c r="BV300" s="280"/>
    </row>
    <row r="301" spans="2:74" x14ac:dyDescent="0.2">
      <c r="B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280"/>
      <c r="BK301" s="280"/>
      <c r="BL301" s="280"/>
      <c r="BM301" s="280"/>
      <c r="BN301" s="280"/>
      <c r="BO301" s="280"/>
      <c r="BP301" s="280"/>
      <c r="BQ301" s="280"/>
      <c r="BR301" s="280"/>
      <c r="BS301" s="280"/>
      <c r="BT301" s="280"/>
      <c r="BU301" s="280"/>
      <c r="BV301" s="280"/>
    </row>
    <row r="302" spans="2:74" x14ac:dyDescent="0.2">
      <c r="B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c r="AH302" s="280"/>
      <c r="AI302" s="280"/>
      <c r="AJ302" s="280"/>
      <c r="AK302" s="280"/>
      <c r="AL302" s="280"/>
      <c r="AM302" s="280"/>
      <c r="AN302" s="280"/>
      <c r="AO302" s="280"/>
      <c r="AP302" s="280"/>
      <c r="AQ302" s="280"/>
      <c r="AR302" s="280"/>
      <c r="AS302" s="280"/>
      <c r="AT302" s="280"/>
      <c r="AU302" s="280"/>
      <c r="AV302" s="280"/>
      <c r="AW302" s="280"/>
      <c r="AX302" s="280"/>
      <c r="AY302" s="280"/>
      <c r="AZ302" s="280"/>
      <c r="BA302" s="280"/>
      <c r="BB302" s="280"/>
      <c r="BC302" s="280"/>
      <c r="BD302" s="280"/>
      <c r="BE302" s="280"/>
      <c r="BF302" s="280"/>
      <c r="BG302" s="280"/>
      <c r="BH302" s="280"/>
      <c r="BI302" s="280"/>
      <c r="BJ302" s="280"/>
      <c r="BK302" s="280"/>
      <c r="BL302" s="280"/>
      <c r="BM302" s="280"/>
      <c r="BN302" s="280"/>
      <c r="BO302" s="280"/>
      <c r="BP302" s="280"/>
      <c r="BQ302" s="280"/>
      <c r="BR302" s="280"/>
      <c r="BS302" s="280"/>
      <c r="BT302" s="280"/>
      <c r="BU302" s="280"/>
      <c r="BV302" s="280"/>
    </row>
    <row r="303" spans="2:74" x14ac:dyDescent="0.2">
      <c r="B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280"/>
      <c r="BP303" s="280"/>
      <c r="BQ303" s="280"/>
      <c r="BR303" s="280"/>
      <c r="BS303" s="280"/>
      <c r="BT303" s="280"/>
      <c r="BU303" s="280"/>
      <c r="BV303" s="280"/>
    </row>
    <row r="304" spans="2:74" x14ac:dyDescent="0.2">
      <c r="B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c r="AJ304" s="280"/>
      <c r="AK304" s="280"/>
      <c r="AL304" s="280"/>
      <c r="AM304" s="280"/>
      <c r="AN304" s="280"/>
      <c r="AO304" s="280"/>
      <c r="AP304" s="280"/>
      <c r="AQ304" s="280"/>
      <c r="AR304" s="280"/>
      <c r="AS304" s="280"/>
      <c r="AT304" s="280"/>
      <c r="AU304" s="280"/>
      <c r="AV304" s="280"/>
      <c r="AW304" s="280"/>
      <c r="AX304" s="280"/>
      <c r="AY304" s="280"/>
      <c r="AZ304" s="280"/>
      <c r="BA304" s="280"/>
      <c r="BB304" s="280"/>
      <c r="BC304" s="280"/>
      <c r="BD304" s="280"/>
      <c r="BE304" s="280"/>
      <c r="BF304" s="280"/>
      <c r="BG304" s="280"/>
      <c r="BH304" s="280"/>
      <c r="BI304" s="280"/>
      <c r="BJ304" s="280"/>
      <c r="BK304" s="280"/>
      <c r="BL304" s="280"/>
      <c r="BM304" s="280"/>
      <c r="BN304" s="280"/>
      <c r="BO304" s="280"/>
      <c r="BP304" s="280"/>
      <c r="BQ304" s="280"/>
      <c r="BR304" s="280"/>
      <c r="BS304" s="280"/>
      <c r="BT304" s="280"/>
      <c r="BU304" s="280"/>
      <c r="BV304" s="280"/>
    </row>
    <row r="305" spans="2:74" x14ac:dyDescent="0.2">
      <c r="B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280"/>
      <c r="BP305" s="280"/>
      <c r="BQ305" s="280"/>
      <c r="BR305" s="280"/>
      <c r="BS305" s="280"/>
      <c r="BT305" s="280"/>
      <c r="BU305" s="280"/>
      <c r="BV305" s="280"/>
    </row>
    <row r="306" spans="2:74" x14ac:dyDescent="0.2">
      <c r="B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280"/>
      <c r="BP306" s="280"/>
      <c r="BQ306" s="280"/>
      <c r="BR306" s="280"/>
      <c r="BS306" s="280"/>
      <c r="BT306" s="280"/>
      <c r="BU306" s="280"/>
      <c r="BV306" s="280"/>
    </row>
    <row r="307" spans="2:74" x14ac:dyDescent="0.2">
      <c r="B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280"/>
      <c r="BP307" s="280"/>
      <c r="BQ307" s="280"/>
      <c r="BR307" s="280"/>
      <c r="BS307" s="280"/>
      <c r="BT307" s="280"/>
      <c r="BU307" s="280"/>
      <c r="BV307" s="280"/>
    </row>
    <row r="308" spans="2:74" x14ac:dyDescent="0.2">
      <c r="B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c r="AJ308" s="280"/>
      <c r="AK308" s="280"/>
      <c r="AL308" s="280"/>
      <c r="AM308" s="280"/>
      <c r="AN308" s="280"/>
      <c r="AO308" s="280"/>
      <c r="AP308" s="280"/>
      <c r="AQ308" s="280"/>
      <c r="AR308" s="280"/>
      <c r="AS308" s="280"/>
      <c r="AT308" s="280"/>
      <c r="AU308" s="280"/>
      <c r="AV308" s="280"/>
      <c r="AW308" s="280"/>
      <c r="AX308" s="280"/>
      <c r="AY308" s="280"/>
      <c r="AZ308" s="280"/>
      <c r="BA308" s="280"/>
      <c r="BB308" s="280"/>
      <c r="BC308" s="280"/>
      <c r="BD308" s="280"/>
      <c r="BE308" s="280"/>
      <c r="BF308" s="280"/>
      <c r="BG308" s="280"/>
      <c r="BH308" s="280"/>
      <c r="BI308" s="280"/>
      <c r="BJ308" s="280"/>
      <c r="BK308" s="280"/>
      <c r="BL308" s="280"/>
      <c r="BM308" s="280"/>
      <c r="BN308" s="280"/>
      <c r="BO308" s="280"/>
      <c r="BP308" s="280"/>
      <c r="BQ308" s="280"/>
      <c r="BR308" s="280"/>
      <c r="BS308" s="280"/>
      <c r="BT308" s="280"/>
      <c r="BU308" s="280"/>
      <c r="BV308" s="280"/>
    </row>
    <row r="309" spans="2:74" x14ac:dyDescent="0.2">
      <c r="B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0"/>
      <c r="AY309" s="280"/>
      <c r="AZ309" s="280"/>
      <c r="BA309" s="280"/>
      <c r="BB309" s="280"/>
      <c r="BC309" s="280"/>
      <c r="BD309" s="280"/>
      <c r="BE309" s="280"/>
      <c r="BF309" s="280"/>
      <c r="BG309" s="280"/>
      <c r="BH309" s="280"/>
      <c r="BI309" s="280"/>
      <c r="BJ309" s="280"/>
      <c r="BK309" s="280"/>
      <c r="BL309" s="280"/>
      <c r="BM309" s="280"/>
      <c r="BN309" s="280"/>
      <c r="BO309" s="280"/>
      <c r="BP309" s="280"/>
      <c r="BQ309" s="280"/>
      <c r="BR309" s="280"/>
      <c r="BS309" s="280"/>
      <c r="BT309" s="280"/>
      <c r="BU309" s="280"/>
      <c r="BV309" s="280"/>
    </row>
    <row r="310" spans="2:74" x14ac:dyDescent="0.2">
      <c r="B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0"/>
      <c r="AY310" s="280"/>
      <c r="AZ310" s="280"/>
      <c r="BA310" s="280"/>
      <c r="BB310" s="280"/>
      <c r="BC310" s="280"/>
      <c r="BD310" s="280"/>
      <c r="BE310" s="280"/>
      <c r="BF310" s="280"/>
      <c r="BG310" s="280"/>
      <c r="BH310" s="280"/>
      <c r="BI310" s="280"/>
      <c r="BJ310" s="280"/>
      <c r="BK310" s="280"/>
      <c r="BL310" s="280"/>
      <c r="BM310" s="280"/>
      <c r="BN310" s="280"/>
      <c r="BO310" s="280"/>
      <c r="BP310" s="280"/>
      <c r="BQ310" s="280"/>
      <c r="BR310" s="280"/>
      <c r="BS310" s="280"/>
      <c r="BT310" s="280"/>
      <c r="BU310" s="280"/>
      <c r="BV310" s="280"/>
    </row>
    <row r="311" spans="2:74" x14ac:dyDescent="0.2">
      <c r="B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0"/>
      <c r="AY311" s="280"/>
      <c r="AZ311" s="280"/>
      <c r="BA311" s="280"/>
      <c r="BB311" s="280"/>
      <c r="BC311" s="280"/>
      <c r="BD311" s="280"/>
      <c r="BE311" s="280"/>
      <c r="BF311" s="280"/>
      <c r="BG311" s="280"/>
      <c r="BH311" s="280"/>
      <c r="BI311" s="280"/>
      <c r="BJ311" s="280"/>
      <c r="BK311" s="280"/>
      <c r="BL311" s="280"/>
      <c r="BM311" s="280"/>
      <c r="BN311" s="280"/>
      <c r="BO311" s="280"/>
      <c r="BP311" s="280"/>
      <c r="BQ311" s="280"/>
      <c r="BR311" s="280"/>
      <c r="BS311" s="280"/>
      <c r="BT311" s="280"/>
      <c r="BU311" s="280"/>
      <c r="BV311" s="280"/>
    </row>
    <row r="312" spans="2:74" x14ac:dyDescent="0.2">
      <c r="B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c r="AH312" s="280"/>
      <c r="AI312" s="280"/>
      <c r="AJ312" s="280"/>
      <c r="AK312" s="280"/>
      <c r="AL312" s="280"/>
      <c r="AM312" s="280"/>
      <c r="AN312" s="280"/>
      <c r="AO312" s="280"/>
      <c r="AP312" s="280"/>
      <c r="AQ312" s="280"/>
      <c r="AR312" s="280"/>
      <c r="AS312" s="280"/>
      <c r="AT312" s="280"/>
      <c r="AU312" s="280"/>
      <c r="AV312" s="280"/>
      <c r="AW312" s="280"/>
      <c r="AX312" s="280"/>
      <c r="AY312" s="280"/>
      <c r="AZ312" s="280"/>
      <c r="BA312" s="280"/>
      <c r="BB312" s="280"/>
      <c r="BC312" s="280"/>
      <c r="BD312" s="280"/>
      <c r="BE312" s="280"/>
      <c r="BF312" s="280"/>
      <c r="BG312" s="280"/>
      <c r="BH312" s="280"/>
      <c r="BI312" s="280"/>
      <c r="BJ312" s="280"/>
      <c r="BK312" s="280"/>
      <c r="BL312" s="280"/>
      <c r="BM312" s="280"/>
      <c r="BN312" s="280"/>
      <c r="BO312" s="280"/>
      <c r="BP312" s="280"/>
      <c r="BQ312" s="280"/>
      <c r="BR312" s="280"/>
      <c r="BS312" s="280"/>
      <c r="BT312" s="280"/>
      <c r="BU312" s="280"/>
      <c r="BV312" s="280"/>
    </row>
    <row r="313" spans="2:74" x14ac:dyDescent="0.2">
      <c r="B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c r="AH313" s="280"/>
      <c r="AI313" s="280"/>
      <c r="AJ313" s="280"/>
      <c r="AK313" s="280"/>
      <c r="AL313" s="280"/>
      <c r="AM313" s="280"/>
      <c r="AN313" s="280"/>
      <c r="AO313" s="280"/>
      <c r="AP313" s="280"/>
      <c r="AQ313" s="280"/>
      <c r="AR313" s="280"/>
      <c r="AS313" s="280"/>
      <c r="AT313" s="280"/>
      <c r="AU313" s="280"/>
      <c r="AV313" s="280"/>
      <c r="AW313" s="280"/>
      <c r="AX313" s="280"/>
      <c r="AY313" s="280"/>
      <c r="AZ313" s="280"/>
      <c r="BA313" s="280"/>
      <c r="BB313" s="280"/>
      <c r="BC313" s="280"/>
      <c r="BD313" s="280"/>
      <c r="BE313" s="280"/>
      <c r="BF313" s="280"/>
      <c r="BG313" s="280"/>
      <c r="BH313" s="280"/>
      <c r="BI313" s="280"/>
      <c r="BJ313" s="280"/>
      <c r="BK313" s="280"/>
      <c r="BL313" s="280"/>
      <c r="BM313" s="280"/>
      <c r="BN313" s="280"/>
      <c r="BO313" s="280"/>
      <c r="BP313" s="280"/>
      <c r="BQ313" s="280"/>
      <c r="BR313" s="280"/>
      <c r="BS313" s="280"/>
      <c r="BT313" s="280"/>
      <c r="BU313" s="280"/>
      <c r="BV313" s="280"/>
    </row>
    <row r="314" spans="2:74" x14ac:dyDescent="0.2">
      <c r="B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280"/>
      <c r="AJ314" s="280"/>
      <c r="AK314" s="280"/>
      <c r="AL314" s="280"/>
      <c r="AM314" s="280"/>
      <c r="AN314" s="280"/>
      <c r="AO314" s="280"/>
      <c r="AP314" s="280"/>
      <c r="AQ314" s="280"/>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0"/>
      <c r="BR314" s="280"/>
      <c r="BS314" s="280"/>
      <c r="BT314" s="280"/>
      <c r="BU314" s="280"/>
      <c r="BV314" s="280"/>
    </row>
    <row r="315" spans="2:74" x14ac:dyDescent="0.2">
      <c r="B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c r="AH315" s="280"/>
      <c r="AI315" s="280"/>
      <c r="AJ315" s="280"/>
      <c r="AK315" s="280"/>
      <c r="AL315" s="280"/>
      <c r="AM315" s="280"/>
      <c r="AN315" s="280"/>
      <c r="AO315" s="280"/>
      <c r="AP315" s="280"/>
      <c r="AQ315" s="280"/>
      <c r="AR315" s="280"/>
      <c r="AS315" s="280"/>
      <c r="AT315" s="280"/>
      <c r="AU315" s="280"/>
      <c r="AV315" s="280"/>
      <c r="AW315" s="280"/>
      <c r="AX315" s="280"/>
      <c r="AY315" s="280"/>
      <c r="AZ315" s="280"/>
      <c r="BA315" s="280"/>
      <c r="BB315" s="280"/>
      <c r="BC315" s="280"/>
      <c r="BD315" s="280"/>
      <c r="BE315" s="280"/>
      <c r="BF315" s="280"/>
      <c r="BG315" s="280"/>
      <c r="BH315" s="280"/>
      <c r="BI315" s="280"/>
      <c r="BJ315" s="280"/>
      <c r="BK315" s="280"/>
      <c r="BL315" s="280"/>
      <c r="BM315" s="280"/>
      <c r="BN315" s="280"/>
      <c r="BO315" s="280"/>
      <c r="BP315" s="280"/>
      <c r="BQ315" s="280"/>
      <c r="BR315" s="280"/>
      <c r="BS315" s="280"/>
      <c r="BT315" s="280"/>
      <c r="BU315" s="280"/>
      <c r="BV315" s="280"/>
    </row>
    <row r="316" spans="2:74" x14ac:dyDescent="0.2">
      <c r="B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280"/>
      <c r="AJ316" s="280"/>
      <c r="AK316" s="280"/>
      <c r="AL316" s="280"/>
      <c r="AM316" s="280"/>
      <c r="AN316" s="280"/>
      <c r="AO316" s="280"/>
      <c r="AP316" s="280"/>
      <c r="AQ316" s="280"/>
      <c r="AR316" s="280"/>
      <c r="AS316" s="280"/>
      <c r="AT316" s="280"/>
      <c r="AU316" s="280"/>
      <c r="AV316" s="280"/>
      <c r="AW316" s="280"/>
      <c r="AX316" s="280"/>
      <c r="AY316" s="280"/>
      <c r="AZ316" s="280"/>
      <c r="BA316" s="280"/>
      <c r="BB316" s="280"/>
      <c r="BC316" s="280"/>
      <c r="BD316" s="280"/>
      <c r="BE316" s="280"/>
      <c r="BF316" s="280"/>
      <c r="BG316" s="280"/>
      <c r="BH316" s="280"/>
      <c r="BI316" s="280"/>
      <c r="BJ316" s="280"/>
      <c r="BK316" s="280"/>
      <c r="BL316" s="280"/>
      <c r="BM316" s="280"/>
      <c r="BN316" s="280"/>
      <c r="BO316" s="280"/>
      <c r="BP316" s="280"/>
      <c r="BQ316" s="280"/>
      <c r="BR316" s="280"/>
      <c r="BS316" s="280"/>
      <c r="BT316" s="280"/>
      <c r="BU316" s="280"/>
      <c r="BV316" s="280"/>
    </row>
    <row r="317" spans="2:74" x14ac:dyDescent="0.2">
      <c r="B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280"/>
      <c r="AJ317" s="280"/>
      <c r="AK317" s="280"/>
      <c r="AL317" s="280"/>
      <c r="AM317" s="280"/>
      <c r="AN317" s="280"/>
      <c r="AO317" s="280"/>
      <c r="AP317" s="280"/>
      <c r="AQ317" s="280"/>
      <c r="AR317" s="280"/>
      <c r="AS317" s="280"/>
      <c r="AT317" s="280"/>
      <c r="AU317" s="280"/>
      <c r="AV317" s="280"/>
      <c r="AW317" s="280"/>
      <c r="AX317" s="280"/>
      <c r="AY317" s="280"/>
      <c r="AZ317" s="280"/>
      <c r="BA317" s="280"/>
      <c r="BB317" s="280"/>
      <c r="BC317" s="280"/>
      <c r="BD317" s="280"/>
      <c r="BE317" s="280"/>
      <c r="BF317" s="280"/>
      <c r="BG317" s="280"/>
      <c r="BH317" s="280"/>
      <c r="BI317" s="280"/>
      <c r="BJ317" s="280"/>
      <c r="BK317" s="280"/>
      <c r="BL317" s="280"/>
      <c r="BM317" s="280"/>
      <c r="BN317" s="280"/>
      <c r="BO317" s="280"/>
      <c r="BP317" s="280"/>
      <c r="BQ317" s="280"/>
      <c r="BR317" s="280"/>
      <c r="BS317" s="280"/>
      <c r="BT317" s="280"/>
      <c r="BU317" s="280"/>
      <c r="BV317" s="280"/>
    </row>
    <row r="318" spans="2:74" x14ac:dyDescent="0.2">
      <c r="B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row>
    <row r="319" spans="2:74" x14ac:dyDescent="0.2">
      <c r="B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c r="AA319" s="280"/>
      <c r="AB319" s="280"/>
      <c r="AC319" s="280"/>
      <c r="AD319" s="280"/>
      <c r="AE319" s="280"/>
      <c r="AF319" s="280"/>
      <c r="AG319" s="280"/>
      <c r="AH319" s="280"/>
      <c r="AI319" s="280"/>
      <c r="AJ319" s="280"/>
      <c r="AK319" s="280"/>
      <c r="AL319" s="280"/>
      <c r="AM319" s="280"/>
      <c r="AN319" s="280"/>
      <c r="AO319" s="280"/>
      <c r="AP319" s="280"/>
      <c r="AQ319" s="280"/>
      <c r="AR319" s="280"/>
      <c r="AS319" s="280"/>
      <c r="AT319" s="280"/>
      <c r="AU319" s="280"/>
      <c r="AV319" s="280"/>
      <c r="AW319" s="280"/>
      <c r="AX319" s="280"/>
      <c r="AY319" s="280"/>
      <c r="AZ319" s="280"/>
      <c r="BA319" s="280"/>
      <c r="BB319" s="280"/>
      <c r="BC319" s="280"/>
      <c r="BD319" s="280"/>
      <c r="BE319" s="280"/>
      <c r="BF319" s="280"/>
      <c r="BG319" s="280"/>
      <c r="BH319" s="280"/>
      <c r="BI319" s="280"/>
      <c r="BJ319" s="280"/>
      <c r="BK319" s="280"/>
      <c r="BL319" s="280"/>
      <c r="BM319" s="280"/>
      <c r="BN319" s="280"/>
      <c r="BO319" s="280"/>
      <c r="BP319" s="280"/>
      <c r="BQ319" s="280"/>
      <c r="BR319" s="280"/>
      <c r="BS319" s="280"/>
      <c r="BT319" s="280"/>
      <c r="BU319" s="280"/>
      <c r="BV319" s="280"/>
    </row>
    <row r="320" spans="2:74" x14ac:dyDescent="0.2">
      <c r="B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c r="BF320" s="280"/>
      <c r="BG320" s="280"/>
      <c r="BH320" s="280"/>
      <c r="BI320" s="280"/>
      <c r="BJ320" s="280"/>
      <c r="BK320" s="280"/>
      <c r="BL320" s="280"/>
      <c r="BM320" s="280"/>
      <c r="BN320" s="280"/>
      <c r="BO320" s="280"/>
      <c r="BP320" s="280"/>
      <c r="BQ320" s="280"/>
      <c r="BR320" s="280"/>
      <c r="BS320" s="280"/>
      <c r="BT320" s="280"/>
      <c r="BU320" s="280"/>
      <c r="BV320" s="280"/>
    </row>
    <row r="321" spans="2:74" x14ac:dyDescent="0.2">
      <c r="B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c r="AJ321" s="280"/>
      <c r="AK321" s="280"/>
      <c r="AL321" s="280"/>
      <c r="AM321" s="280"/>
      <c r="AN321" s="280"/>
      <c r="AO321" s="280"/>
      <c r="AP321" s="280"/>
      <c r="AQ321" s="280"/>
      <c r="AR321" s="280"/>
      <c r="AS321" s="280"/>
      <c r="AT321" s="280"/>
      <c r="AU321" s="280"/>
      <c r="AV321" s="280"/>
      <c r="AW321" s="280"/>
      <c r="AX321" s="280"/>
      <c r="AY321" s="280"/>
      <c r="AZ321" s="280"/>
      <c r="BA321" s="280"/>
      <c r="BB321" s="280"/>
      <c r="BC321" s="280"/>
      <c r="BD321" s="280"/>
      <c r="BE321" s="280"/>
      <c r="BF321" s="280"/>
      <c r="BG321" s="280"/>
      <c r="BH321" s="280"/>
      <c r="BI321" s="280"/>
      <c r="BJ321" s="280"/>
      <c r="BK321" s="280"/>
      <c r="BL321" s="280"/>
      <c r="BM321" s="280"/>
      <c r="BN321" s="280"/>
      <c r="BO321" s="280"/>
      <c r="BP321" s="280"/>
      <c r="BQ321" s="280"/>
      <c r="BR321" s="280"/>
      <c r="BS321" s="280"/>
      <c r="BT321" s="280"/>
      <c r="BU321" s="280"/>
      <c r="BV321" s="280"/>
    </row>
    <row r="322" spans="2:74" x14ac:dyDescent="0.2">
      <c r="B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280"/>
      <c r="AJ322" s="280"/>
      <c r="AK322" s="280"/>
      <c r="AL322" s="280"/>
      <c r="AM322" s="280"/>
      <c r="AN322" s="280"/>
      <c r="AO322" s="280"/>
      <c r="AP322" s="280"/>
      <c r="AQ322" s="280"/>
      <c r="AR322" s="280"/>
      <c r="AS322" s="280"/>
      <c r="AT322" s="280"/>
      <c r="AU322" s="280"/>
      <c r="AV322" s="280"/>
      <c r="AW322" s="280"/>
      <c r="AX322" s="280"/>
      <c r="AY322" s="280"/>
      <c r="AZ322" s="280"/>
      <c r="BA322" s="280"/>
      <c r="BB322" s="280"/>
      <c r="BC322" s="280"/>
      <c r="BD322" s="280"/>
      <c r="BE322" s="280"/>
      <c r="BF322" s="280"/>
      <c r="BG322" s="280"/>
      <c r="BH322" s="280"/>
      <c r="BI322" s="280"/>
      <c r="BJ322" s="280"/>
      <c r="BK322" s="280"/>
      <c r="BL322" s="280"/>
      <c r="BM322" s="280"/>
      <c r="BN322" s="280"/>
      <c r="BO322" s="280"/>
      <c r="BP322" s="280"/>
      <c r="BQ322" s="280"/>
      <c r="BR322" s="280"/>
      <c r="BS322" s="280"/>
      <c r="BT322" s="280"/>
      <c r="BU322" s="280"/>
      <c r="BV322" s="280"/>
    </row>
    <row r="323" spans="2:74" x14ac:dyDescent="0.2">
      <c r="B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0"/>
      <c r="AL323" s="280"/>
      <c r="AM323" s="280"/>
      <c r="AN323" s="280"/>
      <c r="AO323" s="280"/>
      <c r="AP323" s="280"/>
      <c r="AQ323" s="280"/>
      <c r="AR323" s="280"/>
      <c r="AS323" s="280"/>
      <c r="AT323" s="280"/>
      <c r="AU323" s="280"/>
      <c r="AV323" s="280"/>
      <c r="AW323" s="280"/>
      <c r="AX323" s="280"/>
      <c r="AY323" s="280"/>
      <c r="AZ323" s="280"/>
      <c r="BA323" s="280"/>
      <c r="BB323" s="280"/>
      <c r="BC323" s="280"/>
      <c r="BD323" s="280"/>
      <c r="BE323" s="280"/>
      <c r="BF323" s="280"/>
      <c r="BG323" s="280"/>
      <c r="BH323" s="280"/>
      <c r="BI323" s="280"/>
      <c r="BJ323" s="280"/>
      <c r="BK323" s="280"/>
      <c r="BL323" s="280"/>
      <c r="BM323" s="280"/>
      <c r="BN323" s="280"/>
      <c r="BO323" s="280"/>
      <c r="BP323" s="280"/>
      <c r="BQ323" s="280"/>
      <c r="BR323" s="280"/>
      <c r="BS323" s="280"/>
      <c r="BT323" s="280"/>
      <c r="BU323" s="280"/>
      <c r="BV323" s="280"/>
    </row>
    <row r="324" spans="2:74" x14ac:dyDescent="0.2">
      <c r="B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0"/>
      <c r="AO324" s="280"/>
      <c r="AP324" s="280"/>
      <c r="AQ324" s="280"/>
      <c r="AR324" s="280"/>
      <c r="AS324" s="280"/>
      <c r="AT324" s="280"/>
      <c r="AU324" s="280"/>
      <c r="AV324" s="280"/>
      <c r="AW324" s="280"/>
      <c r="AX324" s="280"/>
      <c r="AY324" s="280"/>
      <c r="AZ324" s="280"/>
      <c r="BA324" s="280"/>
      <c r="BB324" s="280"/>
      <c r="BC324" s="280"/>
      <c r="BD324" s="280"/>
      <c r="BE324" s="280"/>
      <c r="BF324" s="280"/>
      <c r="BG324" s="280"/>
      <c r="BH324" s="280"/>
      <c r="BI324" s="280"/>
      <c r="BJ324" s="280"/>
      <c r="BK324" s="280"/>
      <c r="BL324" s="280"/>
      <c r="BM324" s="280"/>
      <c r="BN324" s="280"/>
      <c r="BO324" s="280"/>
      <c r="BP324" s="280"/>
      <c r="BQ324" s="280"/>
      <c r="BR324" s="280"/>
      <c r="BS324" s="280"/>
      <c r="BT324" s="280"/>
      <c r="BU324" s="280"/>
      <c r="BV324" s="280"/>
    </row>
    <row r="325" spans="2:74" x14ac:dyDescent="0.2">
      <c r="B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0"/>
      <c r="AL325" s="280"/>
      <c r="AM325" s="280"/>
      <c r="AN325" s="280"/>
      <c r="AO325" s="280"/>
      <c r="AP325" s="280"/>
      <c r="AQ325" s="280"/>
      <c r="AR325" s="280"/>
      <c r="AS325" s="280"/>
      <c r="AT325" s="280"/>
      <c r="AU325" s="280"/>
      <c r="AV325" s="280"/>
      <c r="AW325" s="280"/>
      <c r="AX325" s="280"/>
      <c r="AY325" s="280"/>
      <c r="AZ325" s="280"/>
      <c r="BA325" s="280"/>
      <c r="BB325" s="280"/>
      <c r="BC325" s="280"/>
      <c r="BD325" s="280"/>
      <c r="BE325" s="280"/>
      <c r="BF325" s="280"/>
      <c r="BG325" s="280"/>
      <c r="BH325" s="280"/>
      <c r="BI325" s="280"/>
      <c r="BJ325" s="280"/>
      <c r="BK325" s="280"/>
      <c r="BL325" s="280"/>
      <c r="BM325" s="280"/>
      <c r="BN325" s="280"/>
      <c r="BO325" s="280"/>
      <c r="BP325" s="280"/>
      <c r="BQ325" s="280"/>
      <c r="BR325" s="280"/>
      <c r="BS325" s="280"/>
      <c r="BT325" s="280"/>
      <c r="BU325" s="280"/>
      <c r="BV325" s="280"/>
    </row>
    <row r="326" spans="2:74" x14ac:dyDescent="0.2">
      <c r="B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c r="BF326" s="280"/>
      <c r="BG326" s="280"/>
      <c r="BH326" s="280"/>
      <c r="BI326" s="280"/>
      <c r="BJ326" s="280"/>
      <c r="BK326" s="280"/>
      <c r="BL326" s="280"/>
      <c r="BM326" s="280"/>
      <c r="BN326" s="280"/>
      <c r="BO326" s="280"/>
      <c r="BP326" s="280"/>
      <c r="BQ326" s="280"/>
      <c r="BR326" s="280"/>
      <c r="BS326" s="280"/>
      <c r="BT326" s="280"/>
      <c r="BU326" s="280"/>
      <c r="BV326" s="280"/>
    </row>
    <row r="327" spans="2:74" x14ac:dyDescent="0.2">
      <c r="B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0"/>
      <c r="AJ327" s="280"/>
      <c r="AK327" s="280"/>
      <c r="AL327" s="280"/>
      <c r="AM327" s="280"/>
      <c r="AN327" s="280"/>
      <c r="AO327" s="280"/>
      <c r="AP327" s="280"/>
      <c r="AQ327" s="280"/>
      <c r="AR327" s="280"/>
      <c r="AS327" s="280"/>
      <c r="AT327" s="280"/>
      <c r="AU327" s="280"/>
      <c r="AV327" s="280"/>
      <c r="AW327" s="280"/>
      <c r="AX327" s="280"/>
      <c r="AY327" s="280"/>
      <c r="AZ327" s="280"/>
      <c r="BA327" s="280"/>
      <c r="BB327" s="280"/>
      <c r="BC327" s="280"/>
      <c r="BD327" s="280"/>
      <c r="BE327" s="280"/>
      <c r="BF327" s="280"/>
      <c r="BG327" s="280"/>
      <c r="BH327" s="280"/>
      <c r="BI327" s="280"/>
      <c r="BJ327" s="280"/>
      <c r="BK327" s="280"/>
      <c r="BL327" s="280"/>
      <c r="BM327" s="280"/>
      <c r="BN327" s="280"/>
      <c r="BO327" s="280"/>
      <c r="BP327" s="280"/>
      <c r="BQ327" s="280"/>
      <c r="BR327" s="280"/>
      <c r="BS327" s="280"/>
      <c r="BT327" s="280"/>
      <c r="BU327" s="280"/>
      <c r="BV327" s="280"/>
    </row>
    <row r="328" spans="2:74" x14ac:dyDescent="0.2">
      <c r="B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0"/>
      <c r="AL328" s="280"/>
      <c r="AM328" s="280"/>
      <c r="AN328" s="280"/>
      <c r="AO328" s="280"/>
      <c r="AP328" s="280"/>
      <c r="AQ328" s="280"/>
      <c r="AR328" s="280"/>
      <c r="AS328" s="280"/>
      <c r="AT328" s="280"/>
      <c r="AU328" s="280"/>
      <c r="AV328" s="280"/>
      <c r="AW328" s="280"/>
      <c r="AX328" s="280"/>
      <c r="AY328" s="280"/>
      <c r="AZ328" s="280"/>
      <c r="BA328" s="280"/>
      <c r="BB328" s="280"/>
      <c r="BC328" s="280"/>
      <c r="BD328" s="280"/>
      <c r="BE328" s="280"/>
      <c r="BF328" s="280"/>
      <c r="BG328" s="280"/>
      <c r="BH328" s="280"/>
      <c r="BI328" s="280"/>
      <c r="BJ328" s="280"/>
      <c r="BK328" s="280"/>
      <c r="BL328" s="280"/>
      <c r="BM328" s="280"/>
      <c r="BN328" s="280"/>
      <c r="BO328" s="280"/>
      <c r="BP328" s="280"/>
      <c r="BQ328" s="280"/>
      <c r="BR328" s="280"/>
      <c r="BS328" s="280"/>
      <c r="BT328" s="280"/>
      <c r="BU328" s="280"/>
      <c r="BV328" s="280"/>
    </row>
    <row r="329" spans="2:74" x14ac:dyDescent="0.2">
      <c r="B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0"/>
      <c r="AL329" s="280"/>
      <c r="AM329" s="280"/>
      <c r="AN329" s="280"/>
      <c r="AO329" s="280"/>
      <c r="AP329" s="280"/>
      <c r="AQ329" s="280"/>
      <c r="AR329" s="280"/>
      <c r="AS329" s="280"/>
      <c r="AT329" s="280"/>
      <c r="AU329" s="280"/>
      <c r="AV329" s="280"/>
      <c r="AW329" s="280"/>
      <c r="AX329" s="280"/>
      <c r="AY329" s="280"/>
      <c r="AZ329" s="280"/>
      <c r="BA329" s="280"/>
      <c r="BB329" s="280"/>
      <c r="BC329" s="280"/>
      <c r="BD329" s="280"/>
      <c r="BE329" s="280"/>
      <c r="BF329" s="280"/>
      <c r="BG329" s="280"/>
      <c r="BH329" s="280"/>
      <c r="BI329" s="280"/>
      <c r="BJ329" s="280"/>
      <c r="BK329" s="280"/>
      <c r="BL329" s="280"/>
      <c r="BM329" s="280"/>
      <c r="BN329" s="280"/>
      <c r="BO329" s="280"/>
      <c r="BP329" s="280"/>
      <c r="BQ329" s="280"/>
      <c r="BR329" s="280"/>
      <c r="BS329" s="280"/>
      <c r="BT329" s="280"/>
      <c r="BU329" s="280"/>
      <c r="BV329" s="280"/>
    </row>
    <row r="330" spans="2:74" x14ac:dyDescent="0.2">
      <c r="B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c r="AE330" s="280"/>
      <c r="AF330" s="280"/>
      <c r="AG330" s="280"/>
      <c r="AH330" s="280"/>
      <c r="AI330" s="280"/>
      <c r="AJ330" s="280"/>
      <c r="AK330" s="280"/>
      <c r="AL330" s="280"/>
      <c r="AM330" s="280"/>
      <c r="AN330" s="280"/>
      <c r="AO330" s="280"/>
      <c r="AP330" s="280"/>
      <c r="AQ330" s="280"/>
      <c r="AR330" s="280"/>
      <c r="AS330" s="280"/>
      <c r="AT330" s="280"/>
      <c r="AU330" s="280"/>
      <c r="AV330" s="280"/>
      <c r="AW330" s="280"/>
      <c r="AX330" s="280"/>
      <c r="AY330" s="280"/>
      <c r="AZ330" s="280"/>
      <c r="BA330" s="280"/>
      <c r="BB330" s="280"/>
      <c r="BC330" s="280"/>
      <c r="BD330" s="280"/>
      <c r="BE330" s="280"/>
      <c r="BF330" s="280"/>
      <c r="BG330" s="280"/>
      <c r="BH330" s="280"/>
      <c r="BI330" s="280"/>
      <c r="BJ330" s="280"/>
      <c r="BK330" s="280"/>
      <c r="BL330" s="280"/>
      <c r="BM330" s="280"/>
      <c r="BN330" s="280"/>
      <c r="BO330" s="280"/>
      <c r="BP330" s="280"/>
      <c r="BQ330" s="280"/>
      <c r="BR330" s="280"/>
      <c r="BS330" s="280"/>
      <c r="BT330" s="280"/>
      <c r="BU330" s="280"/>
      <c r="BV330" s="280"/>
    </row>
    <row r="331" spans="2:74" x14ac:dyDescent="0.2">
      <c r="B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c r="AA331" s="280"/>
      <c r="AB331" s="280"/>
      <c r="AC331" s="280"/>
      <c r="AD331" s="280"/>
      <c r="AE331" s="280"/>
      <c r="AF331" s="280"/>
      <c r="AG331" s="280"/>
      <c r="AH331" s="280"/>
      <c r="AI331" s="280"/>
      <c r="AJ331" s="280"/>
      <c r="AK331" s="280"/>
      <c r="AL331" s="280"/>
      <c r="AM331" s="280"/>
      <c r="AN331" s="280"/>
      <c r="AO331" s="280"/>
      <c r="AP331" s="280"/>
      <c r="AQ331" s="280"/>
      <c r="AR331" s="280"/>
      <c r="AS331" s="280"/>
      <c r="AT331" s="280"/>
      <c r="AU331" s="280"/>
      <c r="AV331" s="280"/>
      <c r="AW331" s="280"/>
      <c r="AX331" s="280"/>
      <c r="AY331" s="280"/>
      <c r="AZ331" s="280"/>
      <c r="BA331" s="280"/>
      <c r="BB331" s="280"/>
      <c r="BC331" s="280"/>
      <c r="BD331" s="280"/>
      <c r="BE331" s="280"/>
      <c r="BF331" s="280"/>
      <c r="BG331" s="280"/>
      <c r="BH331" s="280"/>
      <c r="BI331" s="280"/>
      <c r="BJ331" s="280"/>
      <c r="BK331" s="280"/>
      <c r="BL331" s="280"/>
      <c r="BM331" s="280"/>
      <c r="BN331" s="280"/>
      <c r="BO331" s="280"/>
      <c r="BP331" s="280"/>
      <c r="BQ331" s="280"/>
      <c r="BR331" s="280"/>
      <c r="BS331" s="280"/>
      <c r="BT331" s="280"/>
      <c r="BU331" s="280"/>
      <c r="BV331" s="280"/>
    </row>
    <row r="332" spans="2:74" x14ac:dyDescent="0.2">
      <c r="B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c r="AA332" s="280"/>
      <c r="AB332" s="280"/>
      <c r="AC332" s="280"/>
      <c r="AD332" s="280"/>
      <c r="AE332" s="280"/>
      <c r="AF332" s="280"/>
      <c r="AG332" s="280"/>
      <c r="AH332" s="280"/>
      <c r="AI332" s="280"/>
      <c r="AJ332" s="280"/>
      <c r="AK332" s="280"/>
      <c r="AL332" s="280"/>
      <c r="AM332" s="280"/>
      <c r="AN332" s="280"/>
      <c r="AO332" s="280"/>
      <c r="AP332" s="280"/>
      <c r="AQ332" s="280"/>
      <c r="AR332" s="280"/>
      <c r="AS332" s="280"/>
      <c r="AT332" s="280"/>
      <c r="AU332" s="280"/>
      <c r="AV332" s="280"/>
      <c r="AW332" s="280"/>
      <c r="AX332" s="280"/>
      <c r="AY332" s="280"/>
      <c r="AZ332" s="280"/>
      <c r="BA332" s="280"/>
      <c r="BB332" s="280"/>
      <c r="BC332" s="280"/>
      <c r="BD332" s="280"/>
      <c r="BE332" s="280"/>
      <c r="BF332" s="280"/>
      <c r="BG332" s="280"/>
      <c r="BH332" s="280"/>
      <c r="BI332" s="280"/>
      <c r="BJ332" s="280"/>
      <c r="BK332" s="280"/>
      <c r="BL332" s="280"/>
      <c r="BM332" s="280"/>
      <c r="BN332" s="280"/>
      <c r="BO332" s="280"/>
      <c r="BP332" s="280"/>
      <c r="BQ332" s="280"/>
      <c r="BR332" s="280"/>
      <c r="BS332" s="280"/>
      <c r="BT332" s="280"/>
      <c r="BU332" s="280"/>
      <c r="BV332" s="280"/>
    </row>
    <row r="333" spans="2:74" x14ac:dyDescent="0.2">
      <c r="B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c r="AK333" s="280"/>
      <c r="AL333" s="280"/>
      <c r="AM333" s="280"/>
      <c r="AN333" s="280"/>
      <c r="AO333" s="280"/>
      <c r="AP333" s="280"/>
      <c r="AQ333" s="280"/>
      <c r="AR333" s="280"/>
      <c r="AS333" s="280"/>
      <c r="AT333" s="280"/>
      <c r="AU333" s="280"/>
      <c r="AV333" s="280"/>
      <c r="AW333" s="280"/>
      <c r="AX333" s="280"/>
      <c r="AY333" s="280"/>
      <c r="AZ333" s="280"/>
      <c r="BA333" s="280"/>
      <c r="BB333" s="280"/>
      <c r="BC333" s="280"/>
      <c r="BD333" s="280"/>
      <c r="BE333" s="280"/>
      <c r="BF333" s="280"/>
      <c r="BG333" s="280"/>
      <c r="BH333" s="280"/>
      <c r="BI333" s="280"/>
      <c r="BJ333" s="280"/>
      <c r="BK333" s="280"/>
      <c r="BL333" s="280"/>
      <c r="BM333" s="280"/>
      <c r="BN333" s="280"/>
      <c r="BO333" s="280"/>
      <c r="BP333" s="280"/>
      <c r="BQ333" s="280"/>
      <c r="BR333" s="280"/>
      <c r="BS333" s="280"/>
      <c r="BT333" s="280"/>
      <c r="BU333" s="280"/>
      <c r="BV333" s="280"/>
    </row>
    <row r="334" spans="2:74" x14ac:dyDescent="0.2">
      <c r="B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c r="AK334" s="280"/>
      <c r="AL334" s="280"/>
      <c r="AM334" s="280"/>
      <c r="AN334" s="280"/>
      <c r="AO334" s="280"/>
      <c r="AP334" s="280"/>
      <c r="AQ334" s="280"/>
      <c r="AR334" s="280"/>
      <c r="AS334" s="280"/>
      <c r="AT334" s="280"/>
      <c r="AU334" s="280"/>
      <c r="AV334" s="280"/>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row>
    <row r="335" spans="2:74" x14ac:dyDescent="0.2">
      <c r="B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c r="AK335" s="280"/>
      <c r="AL335" s="280"/>
      <c r="AM335" s="280"/>
      <c r="AN335" s="280"/>
      <c r="AO335" s="280"/>
      <c r="AP335" s="280"/>
      <c r="AQ335" s="280"/>
      <c r="AR335" s="280"/>
      <c r="AS335" s="280"/>
      <c r="AT335" s="280"/>
      <c r="AU335" s="280"/>
      <c r="AV335" s="280"/>
      <c r="AW335" s="280"/>
      <c r="AX335" s="280"/>
      <c r="AY335" s="280"/>
      <c r="AZ335" s="280"/>
      <c r="BA335" s="280"/>
      <c r="BB335" s="280"/>
      <c r="BC335" s="280"/>
      <c r="BD335" s="280"/>
      <c r="BE335" s="280"/>
      <c r="BF335" s="280"/>
      <c r="BG335" s="280"/>
      <c r="BH335" s="280"/>
      <c r="BI335" s="280"/>
      <c r="BJ335" s="280"/>
      <c r="BK335" s="280"/>
      <c r="BL335" s="280"/>
      <c r="BM335" s="280"/>
      <c r="BN335" s="280"/>
      <c r="BO335" s="280"/>
      <c r="BP335" s="280"/>
      <c r="BQ335" s="280"/>
      <c r="BR335" s="280"/>
      <c r="BS335" s="280"/>
      <c r="BT335" s="280"/>
      <c r="BU335" s="280"/>
      <c r="BV335" s="280"/>
    </row>
    <row r="336" spans="2:74" x14ac:dyDescent="0.2">
      <c r="B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0"/>
      <c r="AL336" s="280"/>
      <c r="AM336" s="280"/>
      <c r="AN336" s="280"/>
      <c r="AO336" s="280"/>
      <c r="AP336" s="280"/>
      <c r="AQ336" s="280"/>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c r="BT336" s="280"/>
      <c r="BU336" s="280"/>
      <c r="BV336" s="280"/>
    </row>
    <row r="337" spans="2:74" x14ac:dyDescent="0.2">
      <c r="B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c r="BT337" s="280"/>
      <c r="BU337" s="280"/>
      <c r="BV337" s="280"/>
    </row>
    <row r="338" spans="2:74" x14ac:dyDescent="0.2">
      <c r="B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c r="AH338" s="280"/>
      <c r="AI338" s="280"/>
      <c r="AJ338" s="280"/>
      <c r="AK338" s="280"/>
      <c r="AL338" s="280"/>
      <c r="AM338" s="280"/>
      <c r="AN338" s="280"/>
      <c r="AO338" s="280"/>
      <c r="AP338" s="280"/>
      <c r="AQ338" s="280"/>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280"/>
      <c r="BM338" s="280"/>
      <c r="BN338" s="280"/>
      <c r="BO338" s="280"/>
      <c r="BP338" s="280"/>
      <c r="BQ338" s="280"/>
      <c r="BR338" s="280"/>
      <c r="BS338" s="280"/>
      <c r="BT338" s="280"/>
      <c r="BU338" s="280"/>
      <c r="BV338" s="280"/>
    </row>
    <row r="339" spans="2:74" x14ac:dyDescent="0.2">
      <c r="B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c r="BT339" s="280"/>
      <c r="BU339" s="280"/>
      <c r="BV339" s="280"/>
    </row>
    <row r="340" spans="2:74" x14ac:dyDescent="0.2">
      <c r="B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c r="BT340" s="280"/>
      <c r="BU340" s="280"/>
      <c r="BV340" s="280"/>
    </row>
    <row r="341" spans="2:74" x14ac:dyDescent="0.2">
      <c r="B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0"/>
      <c r="AL341" s="280"/>
      <c r="AM341" s="280"/>
      <c r="AN341" s="280"/>
      <c r="AO341" s="280"/>
      <c r="AP341" s="280"/>
      <c r="AQ341" s="280"/>
      <c r="AR341" s="280"/>
      <c r="AS341" s="280"/>
      <c r="AT341" s="280"/>
      <c r="AU341" s="280"/>
      <c r="AV341" s="280"/>
      <c r="AW341" s="280"/>
      <c r="AX341" s="280"/>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row>
    <row r="342" spans="2:74" x14ac:dyDescent="0.2">
      <c r="B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c r="AH342" s="280"/>
      <c r="AI342" s="280"/>
      <c r="AJ342" s="280"/>
      <c r="AK342" s="280"/>
      <c r="AL342" s="280"/>
      <c r="AM342" s="280"/>
      <c r="AN342" s="280"/>
      <c r="AO342" s="280"/>
      <c r="AP342" s="280"/>
      <c r="AQ342" s="280"/>
      <c r="AR342" s="280"/>
      <c r="AS342" s="280"/>
      <c r="AT342" s="280"/>
      <c r="AU342" s="280"/>
      <c r="AV342" s="280"/>
      <c r="AW342" s="280"/>
      <c r="AX342" s="280"/>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row>
    <row r="343" spans="2:74" x14ac:dyDescent="0.2">
      <c r="B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c r="AA343" s="280"/>
      <c r="AB343" s="280"/>
      <c r="AC343" s="280"/>
      <c r="AD343" s="280"/>
      <c r="AE343" s="280"/>
      <c r="AF343" s="280"/>
      <c r="AG343" s="280"/>
      <c r="AH343" s="280"/>
      <c r="AI343" s="280"/>
      <c r="AJ343" s="280"/>
      <c r="AK343" s="280"/>
      <c r="AL343" s="280"/>
      <c r="AM343" s="280"/>
      <c r="AN343" s="280"/>
      <c r="AO343" s="280"/>
      <c r="AP343" s="280"/>
      <c r="AQ343" s="280"/>
      <c r="AR343" s="280"/>
      <c r="AS343" s="280"/>
      <c r="AT343" s="280"/>
      <c r="AU343" s="280"/>
      <c r="AV343" s="280"/>
      <c r="AW343" s="280"/>
      <c r="AX343" s="280"/>
      <c r="AY343" s="280"/>
      <c r="AZ343" s="280"/>
      <c r="BA343" s="280"/>
      <c r="BB343" s="280"/>
      <c r="BC343" s="280"/>
      <c r="BD343" s="280"/>
      <c r="BE343" s="280"/>
      <c r="BF343" s="280"/>
      <c r="BG343" s="280"/>
      <c r="BH343" s="280"/>
      <c r="BI343" s="280"/>
      <c r="BJ343" s="280"/>
      <c r="BK343" s="280"/>
      <c r="BL343" s="280"/>
      <c r="BM343" s="280"/>
      <c r="BN343" s="280"/>
      <c r="BO343" s="280"/>
      <c r="BP343" s="280"/>
      <c r="BQ343" s="280"/>
      <c r="BR343" s="280"/>
      <c r="BS343" s="280"/>
      <c r="BT343" s="280"/>
      <c r="BU343" s="280"/>
      <c r="BV343" s="280"/>
    </row>
    <row r="344" spans="2:74" x14ac:dyDescent="0.2">
      <c r="B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c r="AA344" s="280"/>
      <c r="AB344" s="280"/>
      <c r="AC344" s="280"/>
      <c r="AD344" s="280"/>
      <c r="AE344" s="280"/>
      <c r="AF344" s="280"/>
      <c r="AG344" s="280"/>
      <c r="AH344" s="280"/>
      <c r="AI344" s="280"/>
      <c r="AJ344" s="280"/>
      <c r="AK344" s="280"/>
      <c r="AL344" s="280"/>
      <c r="AM344" s="280"/>
      <c r="AN344" s="280"/>
      <c r="AO344" s="280"/>
      <c r="AP344" s="280"/>
      <c r="AQ344" s="280"/>
      <c r="AR344" s="280"/>
      <c r="AS344" s="280"/>
      <c r="AT344" s="280"/>
      <c r="AU344" s="280"/>
      <c r="AV344" s="280"/>
      <c r="AW344" s="280"/>
      <c r="AX344" s="280"/>
      <c r="AY344" s="280"/>
      <c r="AZ344" s="280"/>
      <c r="BA344" s="280"/>
      <c r="BB344" s="280"/>
      <c r="BC344" s="280"/>
      <c r="BD344" s="280"/>
      <c r="BE344" s="280"/>
      <c r="BF344" s="280"/>
      <c r="BG344" s="280"/>
      <c r="BH344" s="280"/>
      <c r="BI344" s="280"/>
      <c r="BJ344" s="280"/>
      <c r="BK344" s="280"/>
      <c r="BL344" s="280"/>
      <c r="BM344" s="280"/>
      <c r="BN344" s="280"/>
      <c r="BO344" s="280"/>
      <c r="BP344" s="280"/>
      <c r="BQ344" s="280"/>
      <c r="BR344" s="280"/>
      <c r="BS344" s="280"/>
      <c r="BT344" s="280"/>
      <c r="BU344" s="280"/>
      <c r="BV344" s="280"/>
    </row>
    <row r="345" spans="2:74" x14ac:dyDescent="0.2">
      <c r="B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c r="AH345" s="280"/>
      <c r="AI345" s="280"/>
      <c r="AJ345" s="280"/>
      <c r="AK345" s="280"/>
      <c r="AL345" s="280"/>
      <c r="AM345" s="280"/>
      <c r="AN345" s="280"/>
      <c r="AO345" s="280"/>
      <c r="AP345" s="280"/>
      <c r="AQ345" s="280"/>
      <c r="AR345" s="280"/>
      <c r="AS345" s="280"/>
      <c r="AT345" s="280"/>
      <c r="AU345" s="280"/>
      <c r="AV345" s="280"/>
      <c r="AW345" s="280"/>
      <c r="AX345" s="280"/>
      <c r="AY345" s="280"/>
      <c r="AZ345" s="280"/>
      <c r="BA345" s="280"/>
      <c r="BB345" s="280"/>
      <c r="BC345" s="280"/>
      <c r="BD345" s="280"/>
      <c r="BE345" s="280"/>
      <c r="BF345" s="280"/>
      <c r="BG345" s="280"/>
      <c r="BH345" s="280"/>
      <c r="BI345" s="280"/>
      <c r="BJ345" s="280"/>
      <c r="BK345" s="280"/>
      <c r="BL345" s="280"/>
      <c r="BM345" s="280"/>
      <c r="BN345" s="280"/>
      <c r="BO345" s="280"/>
      <c r="BP345" s="280"/>
      <c r="BQ345" s="280"/>
      <c r="BR345" s="280"/>
      <c r="BS345" s="280"/>
      <c r="BT345" s="280"/>
      <c r="BU345" s="280"/>
      <c r="BV345" s="280"/>
    </row>
    <row r="346" spans="2:74" x14ac:dyDescent="0.2">
      <c r="B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0"/>
      <c r="AL346" s="280"/>
      <c r="AM346" s="280"/>
      <c r="AN346" s="280"/>
      <c r="AO346" s="280"/>
      <c r="AP346" s="280"/>
      <c r="AQ346" s="280"/>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c r="BO346" s="280"/>
      <c r="BP346" s="280"/>
      <c r="BQ346" s="280"/>
      <c r="BR346" s="280"/>
      <c r="BS346" s="280"/>
      <c r="BT346" s="280"/>
      <c r="BU346" s="280"/>
      <c r="BV346" s="280"/>
    </row>
    <row r="347" spans="2:74" x14ac:dyDescent="0.2">
      <c r="B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row>
    <row r="348" spans="2:74" x14ac:dyDescent="0.2">
      <c r="B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80"/>
      <c r="AC348" s="280"/>
      <c r="AD348" s="280"/>
      <c r="AE348" s="280"/>
      <c r="AF348" s="280"/>
      <c r="AG348" s="280"/>
      <c r="AH348" s="280"/>
      <c r="AI348" s="280"/>
      <c r="AJ348" s="280"/>
      <c r="AK348" s="280"/>
      <c r="AL348" s="280"/>
      <c r="AM348" s="280"/>
      <c r="AN348" s="280"/>
      <c r="AO348" s="280"/>
      <c r="AP348" s="280"/>
      <c r="AQ348" s="280"/>
      <c r="AR348" s="280"/>
      <c r="AS348" s="280"/>
      <c r="AT348" s="280"/>
      <c r="AU348" s="280"/>
      <c r="AV348" s="280"/>
      <c r="AW348" s="280"/>
      <c r="AX348" s="280"/>
      <c r="AY348" s="280"/>
      <c r="AZ348" s="280"/>
      <c r="BA348" s="280"/>
      <c r="BB348" s="280"/>
      <c r="BC348" s="280"/>
      <c r="BD348" s="280"/>
      <c r="BE348" s="280"/>
      <c r="BF348" s="280"/>
      <c r="BG348" s="280"/>
      <c r="BH348" s="280"/>
      <c r="BI348" s="280"/>
      <c r="BJ348" s="280"/>
      <c r="BK348" s="280"/>
      <c r="BL348" s="280"/>
      <c r="BM348" s="280"/>
      <c r="BN348" s="280"/>
      <c r="BO348" s="280"/>
      <c r="BP348" s="280"/>
      <c r="BQ348" s="280"/>
      <c r="BR348" s="280"/>
      <c r="BS348" s="280"/>
      <c r="BT348" s="280"/>
      <c r="BU348" s="280"/>
      <c r="BV348" s="280"/>
    </row>
    <row r="349" spans="2:74" x14ac:dyDescent="0.2">
      <c r="B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c r="AH349" s="280"/>
      <c r="AI349" s="280"/>
      <c r="AJ349" s="280"/>
      <c r="AK349" s="280"/>
      <c r="AL349" s="280"/>
      <c r="AM349" s="280"/>
      <c r="AN349" s="280"/>
      <c r="AO349" s="280"/>
      <c r="AP349" s="280"/>
      <c r="AQ349" s="280"/>
      <c r="AR349" s="280"/>
      <c r="AS349" s="280"/>
      <c r="AT349" s="280"/>
      <c r="AU349" s="280"/>
      <c r="AV349" s="280"/>
      <c r="AW349" s="280"/>
      <c r="AX349" s="280"/>
      <c r="AY349" s="280"/>
      <c r="AZ349" s="280"/>
      <c r="BA349" s="280"/>
      <c r="BB349" s="280"/>
      <c r="BC349" s="280"/>
      <c r="BD349" s="280"/>
      <c r="BE349" s="280"/>
      <c r="BF349" s="280"/>
      <c r="BG349" s="280"/>
      <c r="BH349" s="280"/>
      <c r="BI349" s="280"/>
      <c r="BJ349" s="280"/>
      <c r="BK349" s="280"/>
      <c r="BL349" s="280"/>
      <c r="BM349" s="280"/>
      <c r="BN349" s="280"/>
      <c r="BO349" s="280"/>
      <c r="BP349" s="280"/>
      <c r="BQ349" s="280"/>
      <c r="BR349" s="280"/>
      <c r="BS349" s="280"/>
      <c r="BT349" s="280"/>
      <c r="BU349" s="280"/>
      <c r="BV349" s="280"/>
    </row>
    <row r="350" spans="2:74" x14ac:dyDescent="0.2">
      <c r="B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0"/>
      <c r="AJ350" s="280"/>
      <c r="AK350" s="280"/>
      <c r="AL350" s="280"/>
      <c r="AM350" s="280"/>
      <c r="AN350" s="280"/>
      <c r="AO350" s="280"/>
      <c r="AP350" s="280"/>
      <c r="AQ350" s="280"/>
      <c r="AR350" s="280"/>
      <c r="AS350" s="280"/>
      <c r="AT350" s="280"/>
      <c r="AU350" s="280"/>
      <c r="AV350" s="280"/>
      <c r="AW350" s="280"/>
      <c r="AX350" s="280"/>
      <c r="AY350" s="280"/>
      <c r="AZ350" s="280"/>
      <c r="BA350" s="280"/>
      <c r="BB350" s="280"/>
      <c r="BC350" s="280"/>
      <c r="BD350" s="280"/>
      <c r="BE350" s="280"/>
      <c r="BF350" s="280"/>
      <c r="BG350" s="280"/>
      <c r="BH350" s="280"/>
      <c r="BI350" s="280"/>
      <c r="BJ350" s="280"/>
      <c r="BK350" s="280"/>
      <c r="BL350" s="280"/>
      <c r="BM350" s="280"/>
      <c r="BN350" s="280"/>
      <c r="BO350" s="280"/>
      <c r="BP350" s="280"/>
      <c r="BQ350" s="280"/>
      <c r="BR350" s="280"/>
      <c r="BS350" s="280"/>
      <c r="BT350" s="280"/>
      <c r="BU350" s="280"/>
      <c r="BV350" s="280"/>
    </row>
    <row r="351" spans="2:74" x14ac:dyDescent="0.2">
      <c r="B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c r="AH351" s="280"/>
      <c r="AI351" s="280"/>
      <c r="AJ351" s="280"/>
      <c r="AK351" s="280"/>
      <c r="AL351" s="280"/>
      <c r="AM351" s="280"/>
      <c r="AN351" s="280"/>
      <c r="AO351" s="280"/>
      <c r="AP351" s="280"/>
      <c r="AQ351" s="280"/>
      <c r="AR351" s="280"/>
      <c r="AS351" s="280"/>
      <c r="AT351" s="280"/>
      <c r="AU351" s="280"/>
      <c r="AV351" s="280"/>
      <c r="AW351" s="280"/>
      <c r="AX351" s="280"/>
      <c r="AY351" s="280"/>
      <c r="AZ351" s="280"/>
      <c r="BA351" s="280"/>
      <c r="BB351" s="280"/>
      <c r="BC351" s="280"/>
      <c r="BD351" s="280"/>
      <c r="BE351" s="280"/>
      <c r="BF351" s="280"/>
      <c r="BG351" s="280"/>
      <c r="BH351" s="280"/>
      <c r="BI351" s="280"/>
      <c r="BJ351" s="280"/>
      <c r="BK351" s="280"/>
      <c r="BL351" s="280"/>
      <c r="BM351" s="280"/>
      <c r="BN351" s="280"/>
      <c r="BO351" s="280"/>
      <c r="BP351" s="280"/>
      <c r="BQ351" s="280"/>
      <c r="BR351" s="280"/>
      <c r="BS351" s="280"/>
      <c r="BT351" s="280"/>
      <c r="BU351" s="280"/>
      <c r="BV351" s="280"/>
    </row>
    <row r="352" spans="2:74" x14ac:dyDescent="0.2">
      <c r="B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c r="AJ352" s="280"/>
      <c r="AK352" s="280"/>
      <c r="AL352" s="280"/>
      <c r="AM352" s="280"/>
      <c r="AN352" s="280"/>
      <c r="AO352" s="280"/>
      <c r="AP352" s="280"/>
      <c r="AQ352" s="280"/>
      <c r="AR352" s="280"/>
      <c r="AS352" s="280"/>
      <c r="AT352" s="280"/>
      <c r="AU352" s="280"/>
      <c r="AV352" s="280"/>
      <c r="AW352" s="280"/>
      <c r="AX352" s="280"/>
      <c r="AY352" s="280"/>
      <c r="AZ352" s="280"/>
      <c r="BA352" s="280"/>
      <c r="BB352" s="280"/>
      <c r="BC352" s="280"/>
      <c r="BD352" s="280"/>
      <c r="BE352" s="280"/>
      <c r="BF352" s="280"/>
      <c r="BG352" s="280"/>
      <c r="BH352" s="280"/>
      <c r="BI352" s="280"/>
      <c r="BJ352" s="280"/>
      <c r="BK352" s="280"/>
      <c r="BL352" s="280"/>
      <c r="BM352" s="280"/>
      <c r="BN352" s="280"/>
      <c r="BO352" s="280"/>
      <c r="BP352" s="280"/>
      <c r="BQ352" s="280"/>
      <c r="BR352" s="280"/>
      <c r="BS352" s="280"/>
      <c r="BT352" s="280"/>
      <c r="BU352" s="280"/>
      <c r="BV352" s="280"/>
    </row>
    <row r="353" spans="2:74" x14ac:dyDescent="0.2">
      <c r="B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280"/>
      <c r="AJ353" s="280"/>
      <c r="AK353" s="280"/>
      <c r="AL353" s="280"/>
      <c r="AM353" s="280"/>
      <c r="AN353" s="280"/>
      <c r="AO353" s="280"/>
      <c r="AP353" s="280"/>
      <c r="AQ353" s="280"/>
      <c r="AR353" s="280"/>
      <c r="AS353" s="280"/>
      <c r="AT353" s="280"/>
      <c r="AU353" s="280"/>
      <c r="AV353" s="280"/>
      <c r="AW353" s="280"/>
      <c r="AX353" s="280"/>
      <c r="AY353" s="280"/>
      <c r="AZ353" s="280"/>
      <c r="BA353" s="280"/>
      <c r="BB353" s="280"/>
      <c r="BC353" s="280"/>
      <c r="BD353" s="280"/>
      <c r="BE353" s="280"/>
      <c r="BF353" s="280"/>
      <c r="BG353" s="280"/>
      <c r="BH353" s="280"/>
      <c r="BI353" s="280"/>
      <c r="BJ353" s="280"/>
      <c r="BK353" s="280"/>
      <c r="BL353" s="280"/>
      <c r="BM353" s="280"/>
      <c r="BN353" s="280"/>
      <c r="BO353" s="280"/>
      <c r="BP353" s="280"/>
      <c r="BQ353" s="280"/>
      <c r="BR353" s="280"/>
      <c r="BS353" s="280"/>
      <c r="BT353" s="280"/>
      <c r="BU353" s="280"/>
      <c r="BV353" s="280"/>
    </row>
    <row r="354" spans="2:74" x14ac:dyDescent="0.2">
      <c r="B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0"/>
      <c r="AJ354" s="280"/>
      <c r="AK354" s="280"/>
      <c r="AL354" s="280"/>
      <c r="AM354" s="280"/>
      <c r="AN354" s="280"/>
      <c r="AO354" s="280"/>
      <c r="AP354" s="280"/>
      <c r="AQ354" s="280"/>
      <c r="AR354" s="280"/>
      <c r="AS354" s="280"/>
      <c r="AT354" s="280"/>
      <c r="AU354" s="280"/>
      <c r="AV354" s="280"/>
      <c r="AW354" s="280"/>
      <c r="AX354" s="280"/>
      <c r="AY354" s="280"/>
      <c r="AZ354" s="280"/>
      <c r="BA354" s="280"/>
      <c r="BB354" s="280"/>
      <c r="BC354" s="280"/>
      <c r="BD354" s="280"/>
      <c r="BE354" s="280"/>
      <c r="BF354" s="280"/>
      <c r="BG354" s="280"/>
      <c r="BH354" s="280"/>
      <c r="BI354" s="280"/>
      <c r="BJ354" s="280"/>
      <c r="BK354" s="280"/>
      <c r="BL354" s="280"/>
      <c r="BM354" s="280"/>
      <c r="BN354" s="280"/>
      <c r="BO354" s="280"/>
      <c r="BP354" s="280"/>
      <c r="BQ354" s="280"/>
      <c r="BR354" s="280"/>
      <c r="BS354" s="280"/>
      <c r="BT354" s="280"/>
      <c r="BU354" s="280"/>
      <c r="BV354" s="280"/>
    </row>
    <row r="355" spans="2:74" x14ac:dyDescent="0.2">
      <c r="B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280"/>
      <c r="AJ355" s="280"/>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0"/>
      <c r="BI355" s="280"/>
      <c r="BJ355" s="280"/>
      <c r="BK355" s="280"/>
      <c r="BL355" s="280"/>
      <c r="BM355" s="280"/>
      <c r="BN355" s="280"/>
      <c r="BO355" s="280"/>
      <c r="BP355" s="280"/>
      <c r="BQ355" s="280"/>
      <c r="BR355" s="280"/>
      <c r="BS355" s="280"/>
      <c r="BT355" s="280"/>
      <c r="BU355" s="280"/>
      <c r="BV355" s="280"/>
    </row>
    <row r="356" spans="2:74" x14ac:dyDescent="0.2">
      <c r="B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0"/>
      <c r="AJ356" s="280"/>
      <c r="AK356" s="280"/>
      <c r="AL356" s="280"/>
      <c r="AM356" s="280"/>
      <c r="AN356" s="280"/>
      <c r="AO356" s="280"/>
      <c r="AP356" s="280"/>
      <c r="AQ356" s="280"/>
      <c r="AR356" s="280"/>
      <c r="AS356" s="280"/>
      <c r="AT356" s="280"/>
      <c r="AU356" s="280"/>
      <c r="AV356" s="280"/>
      <c r="AW356" s="280"/>
      <c r="AX356" s="280"/>
      <c r="AY356" s="280"/>
      <c r="AZ356" s="280"/>
      <c r="BA356" s="280"/>
      <c r="BB356" s="280"/>
      <c r="BC356" s="280"/>
      <c r="BD356" s="280"/>
      <c r="BE356" s="280"/>
      <c r="BF356" s="280"/>
      <c r="BG356" s="280"/>
      <c r="BH356" s="280"/>
      <c r="BI356" s="280"/>
      <c r="BJ356" s="280"/>
      <c r="BK356" s="280"/>
      <c r="BL356" s="280"/>
      <c r="BM356" s="280"/>
      <c r="BN356" s="280"/>
      <c r="BO356" s="280"/>
      <c r="BP356" s="280"/>
      <c r="BQ356" s="280"/>
      <c r="BR356" s="280"/>
      <c r="BS356" s="280"/>
      <c r="BT356" s="280"/>
      <c r="BU356" s="280"/>
      <c r="BV356" s="280"/>
    </row>
    <row r="357" spans="2:74" x14ac:dyDescent="0.2">
      <c r="B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280"/>
      <c r="AJ357" s="280"/>
      <c r="AK357" s="280"/>
      <c r="AL357" s="280"/>
      <c r="AM357" s="280"/>
      <c r="AN357" s="280"/>
      <c r="AO357" s="280"/>
      <c r="AP357" s="280"/>
      <c r="AQ357" s="280"/>
      <c r="AR357" s="280"/>
      <c r="AS357" s="280"/>
      <c r="AT357" s="280"/>
      <c r="AU357" s="280"/>
      <c r="AV357" s="280"/>
      <c r="AW357" s="280"/>
      <c r="AX357" s="280"/>
      <c r="AY357" s="280"/>
      <c r="AZ357" s="280"/>
      <c r="BA357" s="280"/>
      <c r="BB357" s="280"/>
      <c r="BC357" s="280"/>
      <c r="BD357" s="280"/>
      <c r="BE357" s="280"/>
      <c r="BF357" s="280"/>
      <c r="BG357" s="280"/>
      <c r="BH357" s="280"/>
      <c r="BI357" s="280"/>
      <c r="BJ357" s="280"/>
      <c r="BK357" s="280"/>
      <c r="BL357" s="280"/>
      <c r="BM357" s="280"/>
      <c r="BN357" s="280"/>
      <c r="BO357" s="280"/>
      <c r="BP357" s="280"/>
      <c r="BQ357" s="280"/>
      <c r="BR357" s="280"/>
      <c r="BS357" s="280"/>
      <c r="BT357" s="280"/>
      <c r="BU357" s="280"/>
      <c r="BV357" s="280"/>
    </row>
    <row r="358" spans="2:74" x14ac:dyDescent="0.2">
      <c r="B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0"/>
      <c r="AJ358" s="280"/>
      <c r="AK358" s="280"/>
      <c r="AL358" s="280"/>
      <c r="AM358" s="280"/>
      <c r="AN358" s="280"/>
      <c r="AO358" s="280"/>
      <c r="AP358" s="280"/>
      <c r="AQ358" s="280"/>
      <c r="AR358" s="280"/>
      <c r="AS358" s="280"/>
      <c r="AT358" s="280"/>
      <c r="AU358" s="280"/>
      <c r="AV358" s="280"/>
      <c r="AW358" s="280"/>
      <c r="AX358" s="280"/>
      <c r="AY358" s="280"/>
      <c r="AZ358" s="280"/>
      <c r="BA358" s="280"/>
      <c r="BB358" s="280"/>
      <c r="BC358" s="280"/>
      <c r="BD358" s="280"/>
      <c r="BE358" s="280"/>
      <c r="BF358" s="280"/>
      <c r="BG358" s="280"/>
      <c r="BH358" s="280"/>
      <c r="BI358" s="280"/>
      <c r="BJ358" s="280"/>
      <c r="BK358" s="280"/>
      <c r="BL358" s="280"/>
      <c r="BM358" s="280"/>
      <c r="BN358" s="280"/>
      <c r="BO358" s="280"/>
      <c r="BP358" s="280"/>
      <c r="BQ358" s="280"/>
      <c r="BR358" s="280"/>
      <c r="BS358" s="280"/>
      <c r="BT358" s="280"/>
      <c r="BU358" s="280"/>
      <c r="BV358" s="280"/>
    </row>
    <row r="359" spans="2:74" x14ac:dyDescent="0.2">
      <c r="B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c r="AH359" s="280"/>
      <c r="AI359" s="280"/>
      <c r="AJ359" s="280"/>
      <c r="AK359" s="280"/>
      <c r="AL359" s="280"/>
      <c r="AM359" s="280"/>
      <c r="AN359" s="280"/>
      <c r="AO359" s="280"/>
      <c r="AP359" s="280"/>
      <c r="AQ359" s="280"/>
      <c r="AR359" s="280"/>
      <c r="AS359" s="280"/>
      <c r="AT359" s="280"/>
      <c r="AU359" s="280"/>
      <c r="AV359" s="280"/>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row>
    <row r="360" spans="2:74" x14ac:dyDescent="0.2">
      <c r="B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0"/>
      <c r="AL360" s="280"/>
      <c r="AM360" s="280"/>
      <c r="AN360" s="280"/>
      <c r="AO360" s="280"/>
      <c r="AP360" s="280"/>
      <c r="AQ360" s="280"/>
      <c r="AR360" s="280"/>
      <c r="AS360" s="280"/>
      <c r="AT360" s="280"/>
      <c r="AU360" s="280"/>
      <c r="AV360" s="280"/>
      <c r="AW360" s="280"/>
      <c r="AX360" s="280"/>
      <c r="AY360" s="280"/>
      <c r="AZ360" s="280"/>
      <c r="BA360" s="280"/>
      <c r="BB360" s="280"/>
      <c r="BC360" s="280"/>
      <c r="BD360" s="280"/>
      <c r="BE360" s="280"/>
      <c r="BF360" s="280"/>
      <c r="BG360" s="280"/>
      <c r="BH360" s="280"/>
      <c r="BI360" s="280"/>
      <c r="BJ360" s="280"/>
      <c r="BK360" s="280"/>
      <c r="BL360" s="280"/>
      <c r="BM360" s="280"/>
      <c r="BN360" s="280"/>
      <c r="BO360" s="280"/>
      <c r="BP360" s="280"/>
      <c r="BQ360" s="280"/>
      <c r="BR360" s="280"/>
      <c r="BS360" s="280"/>
      <c r="BT360" s="280"/>
      <c r="BU360" s="280"/>
      <c r="BV360" s="280"/>
    </row>
    <row r="361" spans="2:74" x14ac:dyDescent="0.2">
      <c r="B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c r="AA361" s="280"/>
      <c r="AB361" s="280"/>
      <c r="AC361" s="280"/>
      <c r="AD361" s="280"/>
      <c r="AE361" s="280"/>
      <c r="AF361" s="280"/>
      <c r="AG361" s="280"/>
      <c r="AH361" s="280"/>
      <c r="AI361" s="280"/>
      <c r="AJ361" s="280"/>
      <c r="AK361" s="280"/>
      <c r="AL361" s="280"/>
      <c r="AM361" s="280"/>
      <c r="AN361" s="280"/>
      <c r="AO361" s="280"/>
      <c r="AP361" s="280"/>
      <c r="AQ361" s="280"/>
      <c r="AR361" s="280"/>
      <c r="AS361" s="280"/>
      <c r="AT361" s="280"/>
      <c r="AU361" s="280"/>
      <c r="AV361" s="280"/>
      <c r="AW361" s="280"/>
      <c r="AX361" s="280"/>
      <c r="AY361" s="280"/>
      <c r="AZ361" s="280"/>
      <c r="BA361" s="280"/>
      <c r="BB361" s="280"/>
      <c r="BC361" s="280"/>
      <c r="BD361" s="280"/>
      <c r="BE361" s="280"/>
      <c r="BF361" s="280"/>
      <c r="BG361" s="280"/>
      <c r="BH361" s="280"/>
      <c r="BI361" s="280"/>
      <c r="BJ361" s="280"/>
      <c r="BK361" s="280"/>
      <c r="BL361" s="280"/>
      <c r="BM361" s="280"/>
      <c r="BN361" s="280"/>
      <c r="BO361" s="280"/>
      <c r="BP361" s="280"/>
      <c r="BQ361" s="280"/>
      <c r="BR361" s="280"/>
      <c r="BS361" s="280"/>
      <c r="BT361" s="280"/>
      <c r="BU361" s="280"/>
      <c r="BV361" s="280"/>
    </row>
    <row r="362" spans="2:74" x14ac:dyDescent="0.2">
      <c r="B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c r="AA362" s="280"/>
      <c r="AB362" s="280"/>
      <c r="AC362" s="280"/>
      <c r="AD362" s="280"/>
      <c r="AE362" s="280"/>
      <c r="AF362" s="280"/>
      <c r="AG362" s="280"/>
      <c r="AH362" s="280"/>
      <c r="AI362" s="280"/>
      <c r="AJ362" s="280"/>
      <c r="AK362" s="280"/>
      <c r="AL362" s="280"/>
      <c r="AM362" s="280"/>
      <c r="AN362" s="280"/>
      <c r="AO362" s="280"/>
      <c r="AP362" s="280"/>
      <c r="AQ362" s="280"/>
      <c r="AR362" s="280"/>
      <c r="AS362" s="280"/>
      <c r="AT362" s="280"/>
      <c r="AU362" s="280"/>
      <c r="AV362" s="280"/>
      <c r="AW362" s="280"/>
      <c r="AX362" s="280"/>
      <c r="AY362" s="280"/>
      <c r="AZ362" s="280"/>
      <c r="BA362" s="280"/>
      <c r="BB362" s="280"/>
      <c r="BC362" s="280"/>
      <c r="BD362" s="280"/>
      <c r="BE362" s="280"/>
      <c r="BF362" s="280"/>
      <c r="BG362" s="280"/>
      <c r="BH362" s="280"/>
      <c r="BI362" s="280"/>
      <c r="BJ362" s="280"/>
      <c r="BK362" s="280"/>
      <c r="BL362" s="280"/>
      <c r="BM362" s="280"/>
      <c r="BN362" s="280"/>
      <c r="BO362" s="280"/>
      <c r="BP362" s="280"/>
      <c r="BQ362" s="280"/>
      <c r="BR362" s="280"/>
      <c r="BS362" s="280"/>
      <c r="BT362" s="280"/>
      <c r="BU362" s="280"/>
      <c r="BV362" s="280"/>
    </row>
    <row r="363" spans="2:74" x14ac:dyDescent="0.2">
      <c r="B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0"/>
      <c r="AL363" s="280"/>
      <c r="AM363" s="280"/>
      <c r="AN363" s="280"/>
      <c r="AO363" s="280"/>
      <c r="AP363" s="280"/>
      <c r="AQ363" s="280"/>
      <c r="AR363" s="280"/>
      <c r="AS363" s="280"/>
      <c r="AT363" s="280"/>
      <c r="AU363" s="280"/>
      <c r="AV363" s="280"/>
      <c r="AW363" s="280"/>
      <c r="AX363" s="280"/>
      <c r="AY363" s="280"/>
      <c r="AZ363" s="280"/>
      <c r="BA363" s="280"/>
      <c r="BB363" s="280"/>
      <c r="BC363" s="280"/>
      <c r="BD363" s="280"/>
      <c r="BE363" s="280"/>
      <c r="BF363" s="280"/>
      <c r="BG363" s="280"/>
      <c r="BH363" s="280"/>
      <c r="BI363" s="280"/>
      <c r="BJ363" s="280"/>
      <c r="BK363" s="280"/>
      <c r="BL363" s="280"/>
      <c r="BM363" s="280"/>
      <c r="BN363" s="280"/>
      <c r="BO363" s="280"/>
      <c r="BP363" s="280"/>
      <c r="BQ363" s="280"/>
      <c r="BR363" s="280"/>
      <c r="BS363" s="280"/>
      <c r="BT363" s="280"/>
      <c r="BU363" s="280"/>
      <c r="BV363" s="280"/>
    </row>
    <row r="364" spans="2:74" x14ac:dyDescent="0.2">
      <c r="B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c r="BT364" s="280"/>
      <c r="BU364" s="280"/>
      <c r="BV364" s="280"/>
    </row>
    <row r="365" spans="2:74" x14ac:dyDescent="0.2">
      <c r="B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c r="AH365" s="280"/>
      <c r="AI365" s="280"/>
      <c r="AJ365" s="280"/>
      <c r="AK365" s="280"/>
      <c r="AL365" s="280"/>
      <c r="AM365" s="280"/>
      <c r="AN365" s="280"/>
      <c r="AO365" s="280"/>
      <c r="AP365" s="280"/>
      <c r="AQ365" s="280"/>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c r="BT365" s="280"/>
      <c r="BU365" s="280"/>
      <c r="BV365" s="280"/>
    </row>
    <row r="366" spans="2:74" x14ac:dyDescent="0.2">
      <c r="B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c r="Z366" s="280"/>
      <c r="AA366" s="280"/>
      <c r="AB366" s="280"/>
      <c r="AC366" s="280"/>
      <c r="AD366" s="280"/>
      <c r="AE366" s="280"/>
      <c r="AF366" s="280"/>
      <c r="AG366" s="280"/>
      <c r="AH366" s="280"/>
      <c r="AI366" s="280"/>
      <c r="AJ366" s="280"/>
      <c r="AK366" s="280"/>
      <c r="AL366" s="280"/>
      <c r="AM366" s="280"/>
      <c r="AN366" s="280"/>
      <c r="AO366" s="280"/>
      <c r="AP366" s="280"/>
      <c r="AQ366" s="280"/>
      <c r="AR366" s="280"/>
      <c r="AS366" s="280"/>
      <c r="AT366" s="280"/>
      <c r="AU366" s="280"/>
      <c r="AV366" s="280"/>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row>
    <row r="367" spans="2:74" x14ac:dyDescent="0.2">
      <c r="B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c r="BT367" s="280"/>
      <c r="BU367" s="280"/>
      <c r="BV367" s="280"/>
    </row>
    <row r="368" spans="2:74" x14ac:dyDescent="0.2">
      <c r="B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c r="BT368" s="280"/>
      <c r="BU368" s="280"/>
      <c r="BV368" s="280"/>
    </row>
    <row r="369" spans="2:74" x14ac:dyDescent="0.2">
      <c r="B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280"/>
      <c r="AY369" s="280"/>
      <c r="AZ369" s="280"/>
      <c r="BA369" s="280"/>
      <c r="BB369" s="280"/>
      <c r="BC369" s="280"/>
      <c r="BD369" s="280"/>
      <c r="BE369" s="280"/>
      <c r="BF369" s="280"/>
      <c r="BG369" s="280"/>
      <c r="BH369" s="280"/>
      <c r="BI369" s="280"/>
      <c r="BJ369" s="280"/>
      <c r="BK369" s="280"/>
      <c r="BL369" s="280"/>
      <c r="BM369" s="280"/>
      <c r="BN369" s="280"/>
      <c r="BO369" s="280"/>
      <c r="BP369" s="280"/>
      <c r="BQ369" s="280"/>
      <c r="BR369" s="280"/>
      <c r="BS369" s="280"/>
      <c r="BT369" s="280"/>
      <c r="BU369" s="280"/>
      <c r="BV369" s="280"/>
    </row>
    <row r="370" spans="2:74" x14ac:dyDescent="0.2">
      <c r="B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0"/>
      <c r="AY370" s="280"/>
      <c r="AZ370" s="280"/>
      <c r="BA370" s="280"/>
      <c r="BB370" s="280"/>
      <c r="BC370" s="280"/>
      <c r="BD370" s="280"/>
      <c r="BE370" s="280"/>
      <c r="BF370" s="280"/>
      <c r="BG370" s="280"/>
      <c r="BH370" s="280"/>
      <c r="BI370" s="280"/>
      <c r="BJ370" s="280"/>
      <c r="BK370" s="280"/>
      <c r="BL370" s="280"/>
      <c r="BM370" s="280"/>
      <c r="BN370" s="280"/>
      <c r="BO370" s="280"/>
      <c r="BP370" s="280"/>
      <c r="BQ370" s="280"/>
      <c r="BR370" s="280"/>
      <c r="BS370" s="280"/>
      <c r="BT370" s="280"/>
      <c r="BU370" s="280"/>
      <c r="BV370" s="280"/>
    </row>
    <row r="371" spans="2:74" x14ac:dyDescent="0.2">
      <c r="B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280"/>
      <c r="BP371" s="280"/>
      <c r="BQ371" s="280"/>
      <c r="BR371" s="280"/>
      <c r="BS371" s="280"/>
      <c r="BT371" s="280"/>
      <c r="BU371" s="280"/>
      <c r="BV371" s="280"/>
    </row>
    <row r="372" spans="2:74" x14ac:dyDescent="0.2">
      <c r="B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c r="AA372" s="280"/>
      <c r="AB372" s="280"/>
      <c r="AC372" s="280"/>
      <c r="AD372" s="280"/>
      <c r="AE372" s="280"/>
      <c r="AF372" s="280"/>
      <c r="AG372" s="280"/>
      <c r="AH372" s="280"/>
      <c r="AI372" s="280"/>
      <c r="AJ372" s="280"/>
      <c r="AK372" s="280"/>
      <c r="AL372" s="280"/>
      <c r="AM372" s="280"/>
      <c r="AN372" s="280"/>
      <c r="AO372" s="280"/>
      <c r="AP372" s="280"/>
      <c r="AQ372" s="280"/>
      <c r="AR372" s="280"/>
      <c r="AS372" s="280"/>
      <c r="AT372" s="280"/>
      <c r="AU372" s="280"/>
      <c r="AV372" s="280"/>
      <c r="AW372" s="280"/>
      <c r="AX372" s="280"/>
      <c r="AY372" s="280"/>
      <c r="AZ372" s="280"/>
      <c r="BA372" s="280"/>
      <c r="BB372" s="280"/>
      <c r="BC372" s="280"/>
      <c r="BD372" s="280"/>
      <c r="BE372" s="280"/>
      <c r="BF372" s="280"/>
      <c r="BG372" s="280"/>
      <c r="BH372" s="280"/>
      <c r="BI372" s="280"/>
      <c r="BJ372" s="280"/>
      <c r="BK372" s="280"/>
      <c r="BL372" s="280"/>
      <c r="BM372" s="280"/>
      <c r="BN372" s="280"/>
      <c r="BO372" s="280"/>
      <c r="BP372" s="280"/>
      <c r="BQ372" s="280"/>
      <c r="BR372" s="280"/>
      <c r="BS372" s="280"/>
      <c r="BT372" s="280"/>
      <c r="BU372" s="280"/>
      <c r="BV372" s="280"/>
    </row>
    <row r="373" spans="2:74" x14ac:dyDescent="0.2">
      <c r="B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280"/>
      <c r="BP373" s="280"/>
      <c r="BQ373" s="280"/>
      <c r="BR373" s="280"/>
      <c r="BS373" s="280"/>
      <c r="BT373" s="280"/>
      <c r="BU373" s="280"/>
      <c r="BV373" s="280"/>
    </row>
    <row r="374" spans="2:74" x14ac:dyDescent="0.2">
      <c r="B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row>
    <row r="375" spans="2:74" x14ac:dyDescent="0.2">
      <c r="B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row>
    <row r="376" spans="2:74" x14ac:dyDescent="0.2">
      <c r="B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row>
    <row r="377" spans="2:74" x14ac:dyDescent="0.2">
      <c r="B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c r="AH377" s="280"/>
      <c r="AI377" s="280"/>
      <c r="AJ377" s="280"/>
      <c r="AK377" s="280"/>
      <c r="AL377" s="280"/>
      <c r="AM377" s="280"/>
      <c r="AN377" s="280"/>
      <c r="AO377" s="280"/>
      <c r="AP377" s="280"/>
      <c r="AQ377" s="280"/>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row>
    <row r="378" spans="2:74" x14ac:dyDescent="0.2">
      <c r="B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c r="AA378" s="280"/>
      <c r="AB378" s="280"/>
      <c r="AC378" s="280"/>
      <c r="AD378" s="280"/>
      <c r="AE378" s="280"/>
      <c r="AF378" s="280"/>
      <c r="AG378" s="280"/>
      <c r="AH378" s="280"/>
      <c r="AI378" s="280"/>
      <c r="AJ378" s="280"/>
      <c r="AK378" s="280"/>
      <c r="AL378" s="280"/>
      <c r="AM378" s="280"/>
      <c r="AN378" s="280"/>
      <c r="AO378" s="280"/>
      <c r="AP378" s="280"/>
      <c r="AQ378" s="280"/>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row>
    <row r="379" spans="2:74" x14ac:dyDescent="0.2">
      <c r="B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c r="AH379" s="28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row>
    <row r="380" spans="2:74" x14ac:dyDescent="0.2">
      <c r="B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c r="AH380" s="28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row>
    <row r="381" spans="2:74" x14ac:dyDescent="0.2">
      <c r="B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280"/>
      <c r="AK381" s="280"/>
      <c r="AL381" s="280"/>
      <c r="AM381" s="280"/>
      <c r="AN381" s="280"/>
      <c r="AO381" s="280"/>
      <c r="AP381" s="280"/>
      <c r="AQ381" s="280"/>
      <c r="AR381" s="280"/>
      <c r="AS381" s="280"/>
      <c r="AT381" s="280"/>
      <c r="AU381" s="280"/>
      <c r="AV381" s="280"/>
      <c r="AW381" s="280"/>
      <c r="AX381" s="280"/>
      <c r="AY381" s="280"/>
      <c r="AZ381" s="280"/>
      <c r="BA381" s="280"/>
      <c r="BB381" s="280"/>
      <c r="BC381" s="280"/>
      <c r="BD381" s="280"/>
      <c r="BE381" s="280"/>
      <c r="BF381" s="280"/>
      <c r="BG381" s="280"/>
      <c r="BH381" s="280"/>
      <c r="BI381" s="280"/>
      <c r="BJ381" s="280"/>
      <c r="BK381" s="280"/>
      <c r="BL381" s="280"/>
      <c r="BM381" s="280"/>
      <c r="BN381" s="280"/>
      <c r="BO381" s="280"/>
      <c r="BP381" s="280"/>
      <c r="BQ381" s="280"/>
      <c r="BR381" s="280"/>
      <c r="BS381" s="280"/>
      <c r="BT381" s="280"/>
      <c r="BU381" s="280"/>
      <c r="BV381" s="280"/>
    </row>
    <row r="382" spans="2:74" x14ac:dyDescent="0.2">
      <c r="B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c r="AH382" s="280"/>
      <c r="AI382" s="280"/>
      <c r="AJ382" s="280"/>
      <c r="AK382" s="280"/>
      <c r="AL382" s="280"/>
      <c r="AM382" s="280"/>
      <c r="AN382" s="280"/>
      <c r="AO382" s="280"/>
      <c r="AP382" s="280"/>
      <c r="AQ382" s="280"/>
      <c r="AR382" s="280"/>
      <c r="AS382" s="280"/>
      <c r="AT382" s="280"/>
      <c r="AU382" s="280"/>
      <c r="AV382" s="280"/>
      <c r="AW382" s="280"/>
      <c r="AX382" s="280"/>
      <c r="AY382" s="280"/>
      <c r="AZ382" s="280"/>
      <c r="BA382" s="280"/>
      <c r="BB382" s="280"/>
      <c r="BC382" s="280"/>
      <c r="BD382" s="280"/>
      <c r="BE382" s="280"/>
      <c r="BF382" s="280"/>
      <c r="BG382" s="280"/>
      <c r="BH382" s="280"/>
      <c r="BI382" s="280"/>
      <c r="BJ382" s="280"/>
      <c r="BK382" s="280"/>
      <c r="BL382" s="280"/>
      <c r="BM382" s="280"/>
      <c r="BN382" s="280"/>
      <c r="BO382" s="280"/>
      <c r="BP382" s="280"/>
      <c r="BQ382" s="280"/>
      <c r="BR382" s="280"/>
      <c r="BS382" s="280"/>
      <c r="BT382" s="280"/>
      <c r="BU382" s="280"/>
      <c r="BV382" s="280"/>
    </row>
    <row r="383" spans="2:74" x14ac:dyDescent="0.2">
      <c r="B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0"/>
      <c r="BR383" s="280"/>
      <c r="BS383" s="280"/>
      <c r="BT383" s="280"/>
      <c r="BU383" s="280"/>
      <c r="BV383" s="280"/>
    </row>
    <row r="384" spans="2:74" x14ac:dyDescent="0.2">
      <c r="B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80"/>
      <c r="AC384" s="280"/>
      <c r="AD384" s="280"/>
      <c r="AE384" s="280"/>
      <c r="AF384" s="280"/>
      <c r="AG384" s="280"/>
      <c r="AH384" s="280"/>
      <c r="AI384" s="280"/>
      <c r="AJ384" s="280"/>
      <c r="AK384" s="280"/>
      <c r="AL384" s="280"/>
      <c r="AM384" s="280"/>
      <c r="AN384" s="280"/>
      <c r="AO384" s="280"/>
      <c r="AP384" s="280"/>
      <c r="AQ384" s="280"/>
      <c r="AR384" s="280"/>
      <c r="AS384" s="280"/>
      <c r="AT384" s="280"/>
      <c r="AU384" s="280"/>
      <c r="AV384" s="280"/>
      <c r="AW384" s="280"/>
      <c r="AX384" s="280"/>
      <c r="AY384" s="280"/>
      <c r="AZ384" s="280"/>
      <c r="BA384" s="280"/>
      <c r="BB384" s="280"/>
      <c r="BC384" s="280"/>
      <c r="BD384" s="280"/>
      <c r="BE384" s="280"/>
      <c r="BF384" s="280"/>
      <c r="BG384" s="280"/>
      <c r="BH384" s="280"/>
      <c r="BI384" s="280"/>
      <c r="BJ384" s="280"/>
      <c r="BK384" s="280"/>
      <c r="BL384" s="280"/>
      <c r="BM384" s="280"/>
      <c r="BN384" s="280"/>
      <c r="BO384" s="280"/>
      <c r="BP384" s="280"/>
      <c r="BQ384" s="280"/>
      <c r="BR384" s="280"/>
      <c r="BS384" s="280"/>
      <c r="BT384" s="280"/>
      <c r="BU384" s="280"/>
      <c r="BV384" s="280"/>
    </row>
    <row r="385" spans="2:74" x14ac:dyDescent="0.2">
      <c r="B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80"/>
      <c r="AC385" s="280"/>
      <c r="AD385" s="280"/>
      <c r="AE385" s="280"/>
      <c r="AF385" s="280"/>
      <c r="AG385" s="280"/>
      <c r="AH385" s="280"/>
      <c r="AI385" s="280"/>
      <c r="AJ385" s="280"/>
      <c r="AK385" s="280"/>
      <c r="AL385" s="280"/>
      <c r="AM385" s="280"/>
      <c r="AN385" s="280"/>
      <c r="AO385" s="280"/>
      <c r="AP385" s="280"/>
      <c r="AQ385" s="280"/>
      <c r="AR385" s="280"/>
      <c r="AS385" s="280"/>
      <c r="AT385" s="280"/>
      <c r="AU385" s="280"/>
      <c r="AV385" s="280"/>
      <c r="AW385" s="280"/>
      <c r="AX385" s="280"/>
      <c r="AY385" s="280"/>
      <c r="AZ385" s="280"/>
      <c r="BA385" s="280"/>
      <c r="BB385" s="280"/>
      <c r="BC385" s="280"/>
      <c r="BD385" s="280"/>
      <c r="BE385" s="280"/>
      <c r="BF385" s="280"/>
      <c r="BG385" s="280"/>
      <c r="BH385" s="280"/>
      <c r="BI385" s="280"/>
      <c r="BJ385" s="280"/>
      <c r="BK385" s="280"/>
      <c r="BL385" s="280"/>
      <c r="BM385" s="280"/>
      <c r="BN385" s="280"/>
      <c r="BO385" s="280"/>
      <c r="BP385" s="280"/>
      <c r="BQ385" s="280"/>
      <c r="BR385" s="280"/>
      <c r="BS385" s="280"/>
      <c r="BT385" s="280"/>
      <c r="BU385" s="280"/>
      <c r="BV385" s="280"/>
    </row>
    <row r="386" spans="2:74" x14ac:dyDescent="0.2">
      <c r="B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c r="AA386" s="280"/>
      <c r="AB386" s="280"/>
      <c r="AC386" s="280"/>
      <c r="AD386" s="280"/>
      <c r="AE386" s="280"/>
      <c r="AF386" s="280"/>
      <c r="AG386" s="280"/>
      <c r="AH386" s="280"/>
      <c r="AI386" s="280"/>
      <c r="AJ386" s="280"/>
      <c r="AK386" s="280"/>
      <c r="AL386" s="280"/>
      <c r="AM386" s="280"/>
      <c r="AN386" s="280"/>
      <c r="AO386" s="280"/>
      <c r="AP386" s="280"/>
      <c r="AQ386" s="280"/>
      <c r="AR386" s="280"/>
      <c r="AS386" s="280"/>
      <c r="AT386" s="280"/>
      <c r="AU386" s="280"/>
      <c r="AV386" s="280"/>
      <c r="AW386" s="280"/>
      <c r="AX386" s="280"/>
      <c r="AY386" s="280"/>
      <c r="AZ386" s="280"/>
      <c r="BA386" s="280"/>
      <c r="BB386" s="280"/>
      <c r="BC386" s="280"/>
      <c r="BD386" s="280"/>
      <c r="BE386" s="280"/>
      <c r="BF386" s="280"/>
      <c r="BG386" s="280"/>
      <c r="BH386" s="280"/>
      <c r="BI386" s="280"/>
      <c r="BJ386" s="280"/>
      <c r="BK386" s="280"/>
      <c r="BL386" s="280"/>
      <c r="BM386" s="280"/>
      <c r="BN386" s="280"/>
      <c r="BO386" s="280"/>
      <c r="BP386" s="280"/>
      <c r="BQ386" s="280"/>
      <c r="BR386" s="280"/>
      <c r="BS386" s="280"/>
      <c r="BT386" s="280"/>
      <c r="BU386" s="280"/>
      <c r="BV386" s="280"/>
    </row>
    <row r="387" spans="2:74" x14ac:dyDescent="0.2">
      <c r="B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c r="AA387" s="280"/>
      <c r="AB387" s="280"/>
      <c r="AC387" s="280"/>
      <c r="AD387" s="280"/>
      <c r="AE387" s="280"/>
      <c r="AF387" s="280"/>
      <c r="AG387" s="280"/>
      <c r="AH387" s="280"/>
      <c r="AI387" s="280"/>
      <c r="AJ387" s="280"/>
      <c r="AK387" s="280"/>
      <c r="AL387" s="280"/>
      <c r="AM387" s="280"/>
      <c r="AN387" s="280"/>
      <c r="AO387" s="280"/>
      <c r="AP387" s="280"/>
      <c r="AQ387" s="280"/>
      <c r="AR387" s="280"/>
      <c r="AS387" s="280"/>
      <c r="AT387" s="280"/>
      <c r="AU387" s="280"/>
      <c r="AV387" s="280"/>
      <c r="AW387" s="280"/>
      <c r="AX387" s="280"/>
      <c r="AY387" s="280"/>
      <c r="AZ387" s="280"/>
      <c r="BA387" s="280"/>
      <c r="BB387" s="280"/>
      <c r="BC387" s="280"/>
      <c r="BD387" s="280"/>
      <c r="BE387" s="280"/>
      <c r="BF387" s="280"/>
      <c r="BG387" s="280"/>
      <c r="BH387" s="280"/>
      <c r="BI387" s="280"/>
      <c r="BJ387" s="280"/>
      <c r="BK387" s="280"/>
      <c r="BL387" s="280"/>
      <c r="BM387" s="280"/>
      <c r="BN387" s="280"/>
      <c r="BO387" s="280"/>
      <c r="BP387" s="280"/>
      <c r="BQ387" s="280"/>
      <c r="BR387" s="280"/>
      <c r="BS387" s="280"/>
      <c r="BT387" s="280"/>
      <c r="BU387" s="280"/>
      <c r="BV387" s="280"/>
    </row>
    <row r="388" spans="2:74" x14ac:dyDescent="0.2">
      <c r="B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c r="AH388" s="280"/>
      <c r="AI388" s="280"/>
      <c r="AJ388" s="280"/>
      <c r="AK388" s="280"/>
      <c r="AL388" s="280"/>
      <c r="AM388" s="280"/>
      <c r="AN388" s="280"/>
      <c r="AO388" s="280"/>
      <c r="AP388" s="280"/>
      <c r="AQ388" s="280"/>
      <c r="AR388" s="280"/>
      <c r="AS388" s="280"/>
      <c r="AT388" s="280"/>
      <c r="AU388" s="280"/>
      <c r="AV388" s="280"/>
      <c r="AW388" s="280"/>
      <c r="AX388" s="280"/>
      <c r="AY388" s="280"/>
      <c r="AZ388" s="280"/>
      <c r="BA388" s="280"/>
      <c r="BB388" s="280"/>
      <c r="BC388" s="280"/>
      <c r="BD388" s="280"/>
      <c r="BE388" s="280"/>
      <c r="BF388" s="280"/>
      <c r="BG388" s="280"/>
      <c r="BH388" s="280"/>
      <c r="BI388" s="280"/>
      <c r="BJ388" s="280"/>
      <c r="BK388" s="280"/>
      <c r="BL388" s="280"/>
      <c r="BM388" s="280"/>
      <c r="BN388" s="280"/>
      <c r="BO388" s="280"/>
      <c r="BP388" s="280"/>
      <c r="BQ388" s="280"/>
      <c r="BR388" s="280"/>
      <c r="BS388" s="280"/>
      <c r="BT388" s="280"/>
      <c r="BU388" s="280"/>
      <c r="BV388" s="280"/>
    </row>
    <row r="389" spans="2:74" x14ac:dyDescent="0.2">
      <c r="B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c r="AH389" s="280"/>
      <c r="AI389" s="280"/>
      <c r="AJ389" s="280"/>
      <c r="AK389" s="280"/>
      <c r="AL389" s="280"/>
      <c r="AM389" s="280"/>
      <c r="AN389" s="280"/>
      <c r="AO389" s="280"/>
      <c r="AP389" s="280"/>
      <c r="AQ389" s="280"/>
      <c r="AR389" s="280"/>
      <c r="AS389" s="280"/>
      <c r="AT389" s="280"/>
      <c r="AU389" s="280"/>
      <c r="AV389" s="280"/>
      <c r="AW389" s="280"/>
      <c r="AX389" s="280"/>
      <c r="AY389" s="280"/>
      <c r="AZ389" s="280"/>
      <c r="BA389" s="280"/>
      <c r="BB389" s="280"/>
      <c r="BC389" s="280"/>
      <c r="BD389" s="280"/>
      <c r="BE389" s="280"/>
      <c r="BF389" s="280"/>
      <c r="BG389" s="280"/>
      <c r="BH389" s="280"/>
      <c r="BI389" s="280"/>
      <c r="BJ389" s="280"/>
      <c r="BK389" s="280"/>
      <c r="BL389" s="280"/>
      <c r="BM389" s="280"/>
      <c r="BN389" s="280"/>
      <c r="BO389" s="280"/>
      <c r="BP389" s="280"/>
      <c r="BQ389" s="280"/>
      <c r="BR389" s="280"/>
      <c r="BS389" s="280"/>
      <c r="BT389" s="280"/>
      <c r="BU389" s="280"/>
      <c r="BV389" s="280"/>
    </row>
    <row r="390" spans="2:74" x14ac:dyDescent="0.2">
      <c r="B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c r="AH390" s="280"/>
      <c r="AI390" s="280"/>
      <c r="AJ390" s="280"/>
      <c r="AK390" s="280"/>
      <c r="AL390" s="280"/>
      <c r="AM390" s="280"/>
      <c r="AN390" s="280"/>
      <c r="AO390" s="280"/>
      <c r="AP390" s="280"/>
      <c r="AQ390" s="280"/>
      <c r="AR390" s="280"/>
      <c r="AS390" s="280"/>
      <c r="AT390" s="280"/>
      <c r="AU390" s="280"/>
      <c r="AV390" s="280"/>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row>
    <row r="391" spans="2:74" x14ac:dyDescent="0.2">
      <c r="B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c r="AA391" s="280"/>
      <c r="AB391" s="280"/>
      <c r="AC391" s="280"/>
      <c r="AD391" s="280"/>
      <c r="AE391" s="280"/>
      <c r="AF391" s="280"/>
      <c r="AG391" s="280"/>
      <c r="AH391" s="280"/>
      <c r="AI391" s="280"/>
      <c r="AJ391" s="280"/>
      <c r="AK391" s="280"/>
      <c r="AL391" s="280"/>
      <c r="AM391" s="280"/>
      <c r="AN391" s="280"/>
      <c r="AO391" s="280"/>
      <c r="AP391" s="280"/>
      <c r="AQ391" s="280"/>
      <c r="AR391" s="280"/>
      <c r="AS391" s="280"/>
      <c r="AT391" s="280"/>
      <c r="AU391" s="280"/>
      <c r="AV391" s="280"/>
      <c r="AW391" s="280"/>
      <c r="AX391" s="280"/>
      <c r="AY391" s="280"/>
      <c r="AZ391" s="280"/>
      <c r="BA391" s="280"/>
      <c r="BB391" s="280"/>
      <c r="BC391" s="280"/>
      <c r="BD391" s="280"/>
      <c r="BE391" s="280"/>
      <c r="BF391" s="280"/>
      <c r="BG391" s="280"/>
      <c r="BH391" s="280"/>
      <c r="BI391" s="280"/>
      <c r="BJ391" s="280"/>
      <c r="BK391" s="280"/>
      <c r="BL391" s="280"/>
      <c r="BM391" s="280"/>
      <c r="BN391" s="280"/>
      <c r="BO391" s="280"/>
      <c r="BP391" s="280"/>
      <c r="BQ391" s="280"/>
      <c r="BR391" s="280"/>
      <c r="BS391" s="280"/>
      <c r="BT391" s="280"/>
      <c r="BU391" s="280"/>
      <c r="BV391" s="280"/>
    </row>
    <row r="392" spans="2:74" x14ac:dyDescent="0.2">
      <c r="B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c r="AA392" s="280"/>
      <c r="AB392" s="280"/>
      <c r="AC392" s="280"/>
      <c r="AD392" s="280"/>
      <c r="AE392" s="280"/>
      <c r="AF392" s="280"/>
      <c r="AG392" s="280"/>
      <c r="AH392" s="280"/>
      <c r="AI392" s="280"/>
      <c r="AJ392" s="280"/>
      <c r="AK392" s="280"/>
      <c r="AL392" s="280"/>
      <c r="AM392" s="280"/>
      <c r="AN392" s="280"/>
      <c r="AO392" s="280"/>
      <c r="AP392" s="280"/>
      <c r="AQ392" s="280"/>
      <c r="AR392" s="280"/>
      <c r="AS392" s="280"/>
      <c r="AT392" s="280"/>
      <c r="AU392" s="280"/>
      <c r="AV392" s="280"/>
      <c r="AW392" s="280"/>
      <c r="AX392" s="280"/>
      <c r="AY392" s="280"/>
      <c r="AZ392" s="280"/>
      <c r="BA392" s="280"/>
      <c r="BB392" s="280"/>
      <c r="BC392" s="280"/>
      <c r="BD392" s="280"/>
      <c r="BE392" s="280"/>
      <c r="BF392" s="280"/>
      <c r="BG392" s="280"/>
      <c r="BH392" s="280"/>
      <c r="BI392" s="280"/>
      <c r="BJ392" s="280"/>
      <c r="BK392" s="280"/>
      <c r="BL392" s="280"/>
      <c r="BM392" s="280"/>
      <c r="BN392" s="280"/>
      <c r="BO392" s="280"/>
      <c r="BP392" s="280"/>
      <c r="BQ392" s="280"/>
      <c r="BR392" s="280"/>
      <c r="BS392" s="280"/>
      <c r="BT392" s="280"/>
      <c r="BU392" s="280"/>
      <c r="BV392" s="280"/>
    </row>
    <row r="393" spans="2:74" x14ac:dyDescent="0.2">
      <c r="B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c r="AA393" s="280"/>
      <c r="AB393" s="280"/>
      <c r="AC393" s="280"/>
      <c r="AD393" s="280"/>
      <c r="AE393" s="280"/>
      <c r="AF393" s="280"/>
      <c r="AG393" s="280"/>
      <c r="AH393" s="280"/>
      <c r="AI393" s="280"/>
      <c r="AJ393" s="280"/>
      <c r="AK393" s="280"/>
      <c r="AL393" s="280"/>
      <c r="AM393" s="280"/>
      <c r="AN393" s="280"/>
      <c r="AO393" s="280"/>
      <c r="AP393" s="280"/>
      <c r="AQ393" s="280"/>
      <c r="AR393" s="280"/>
      <c r="AS393" s="280"/>
      <c r="AT393" s="280"/>
      <c r="AU393" s="280"/>
      <c r="AV393" s="280"/>
      <c r="AW393" s="280"/>
      <c r="AX393" s="280"/>
      <c r="AY393" s="280"/>
      <c r="AZ393" s="280"/>
      <c r="BA393" s="280"/>
      <c r="BB393" s="280"/>
      <c r="BC393" s="280"/>
      <c r="BD393" s="280"/>
      <c r="BE393" s="280"/>
      <c r="BF393" s="280"/>
      <c r="BG393" s="280"/>
      <c r="BH393" s="280"/>
      <c r="BI393" s="280"/>
      <c r="BJ393" s="280"/>
      <c r="BK393" s="280"/>
      <c r="BL393" s="280"/>
      <c r="BM393" s="280"/>
      <c r="BN393" s="280"/>
      <c r="BO393" s="280"/>
      <c r="BP393" s="280"/>
      <c r="BQ393" s="280"/>
      <c r="BR393" s="280"/>
      <c r="BS393" s="280"/>
      <c r="BT393" s="280"/>
      <c r="BU393" s="280"/>
      <c r="BV393" s="280"/>
    </row>
    <row r="394" spans="2:74" x14ac:dyDescent="0.2">
      <c r="B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c r="AA394" s="280"/>
      <c r="AB394" s="280"/>
      <c r="AC394" s="280"/>
      <c r="AD394" s="280"/>
      <c r="AE394" s="280"/>
      <c r="AF394" s="280"/>
      <c r="AG394" s="280"/>
      <c r="AH394" s="280"/>
      <c r="AI394" s="280"/>
      <c r="AJ394" s="280"/>
      <c r="AK394" s="280"/>
      <c r="AL394" s="280"/>
      <c r="AM394" s="280"/>
      <c r="AN394" s="280"/>
      <c r="AO394" s="280"/>
      <c r="AP394" s="280"/>
      <c r="AQ394" s="280"/>
      <c r="AR394" s="280"/>
      <c r="AS394" s="280"/>
      <c r="AT394" s="280"/>
      <c r="AU394" s="280"/>
      <c r="AV394" s="280"/>
      <c r="AW394" s="280"/>
      <c r="AX394" s="280"/>
      <c r="AY394" s="280"/>
      <c r="AZ394" s="280"/>
      <c r="BA394" s="280"/>
      <c r="BB394" s="280"/>
      <c r="BC394" s="280"/>
      <c r="BD394" s="280"/>
      <c r="BE394" s="280"/>
      <c r="BF394" s="280"/>
      <c r="BG394" s="280"/>
      <c r="BH394" s="280"/>
      <c r="BI394" s="280"/>
      <c r="BJ394" s="280"/>
      <c r="BK394" s="280"/>
      <c r="BL394" s="280"/>
      <c r="BM394" s="280"/>
      <c r="BN394" s="280"/>
      <c r="BO394" s="280"/>
      <c r="BP394" s="280"/>
      <c r="BQ394" s="280"/>
      <c r="BR394" s="280"/>
      <c r="BS394" s="280"/>
      <c r="BT394" s="280"/>
      <c r="BU394" s="280"/>
      <c r="BV394" s="280"/>
    </row>
    <row r="395" spans="2:74" x14ac:dyDescent="0.2">
      <c r="B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c r="AA395" s="280"/>
      <c r="AB395" s="280"/>
      <c r="AC395" s="280"/>
      <c r="AD395" s="280"/>
      <c r="AE395" s="280"/>
      <c r="AF395" s="280"/>
      <c r="AG395" s="280"/>
      <c r="AH395" s="280"/>
      <c r="AI395" s="280"/>
      <c r="AJ395" s="280"/>
      <c r="AK395" s="280"/>
      <c r="AL395" s="280"/>
      <c r="AM395" s="280"/>
      <c r="AN395" s="280"/>
      <c r="AO395" s="280"/>
      <c r="AP395" s="280"/>
      <c r="AQ395" s="280"/>
      <c r="AR395" s="280"/>
      <c r="AS395" s="280"/>
      <c r="AT395" s="280"/>
      <c r="AU395" s="280"/>
      <c r="AV395" s="280"/>
      <c r="AW395" s="280"/>
      <c r="AX395" s="280"/>
      <c r="AY395" s="280"/>
      <c r="AZ395" s="280"/>
      <c r="BA395" s="280"/>
      <c r="BB395" s="280"/>
      <c r="BC395" s="280"/>
      <c r="BD395" s="280"/>
      <c r="BE395" s="280"/>
      <c r="BF395" s="280"/>
      <c r="BG395" s="280"/>
      <c r="BH395" s="280"/>
      <c r="BI395" s="280"/>
      <c r="BJ395" s="280"/>
      <c r="BK395" s="280"/>
      <c r="BL395" s="280"/>
      <c r="BM395" s="280"/>
      <c r="BN395" s="280"/>
      <c r="BO395" s="280"/>
      <c r="BP395" s="280"/>
      <c r="BQ395" s="280"/>
      <c r="BR395" s="280"/>
      <c r="BS395" s="280"/>
      <c r="BT395" s="280"/>
      <c r="BU395" s="280"/>
      <c r="BV395" s="280"/>
    </row>
    <row r="396" spans="2:74" x14ac:dyDescent="0.2">
      <c r="B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c r="AA396" s="280"/>
      <c r="AB396" s="280"/>
      <c r="AC396" s="280"/>
      <c r="AD396" s="280"/>
      <c r="AE396" s="280"/>
      <c r="AF396" s="280"/>
      <c r="AG396" s="280"/>
      <c r="AH396" s="280"/>
      <c r="AI396" s="280"/>
      <c r="AJ396" s="280"/>
      <c r="AK396" s="280"/>
      <c r="AL396" s="280"/>
      <c r="AM396" s="280"/>
      <c r="AN396" s="280"/>
      <c r="AO396" s="280"/>
      <c r="AP396" s="280"/>
      <c r="AQ396" s="280"/>
      <c r="AR396" s="280"/>
      <c r="AS396" s="280"/>
      <c r="AT396" s="280"/>
      <c r="AU396" s="280"/>
      <c r="AV396" s="280"/>
      <c r="AW396" s="280"/>
      <c r="AX396" s="280"/>
      <c r="AY396" s="280"/>
      <c r="AZ396" s="280"/>
      <c r="BA396" s="280"/>
      <c r="BB396" s="280"/>
      <c r="BC396" s="280"/>
      <c r="BD396" s="280"/>
      <c r="BE396" s="280"/>
      <c r="BF396" s="280"/>
      <c r="BG396" s="280"/>
      <c r="BH396" s="280"/>
      <c r="BI396" s="280"/>
      <c r="BJ396" s="280"/>
      <c r="BK396" s="280"/>
      <c r="BL396" s="280"/>
      <c r="BM396" s="280"/>
      <c r="BN396" s="280"/>
      <c r="BO396" s="280"/>
      <c r="BP396" s="280"/>
      <c r="BQ396" s="280"/>
      <c r="BR396" s="280"/>
      <c r="BS396" s="280"/>
      <c r="BT396" s="280"/>
      <c r="BU396" s="280"/>
      <c r="BV396" s="280"/>
    </row>
    <row r="397" spans="2:74" x14ac:dyDescent="0.2">
      <c r="B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c r="AA397" s="280"/>
      <c r="AB397" s="280"/>
      <c r="AC397" s="280"/>
      <c r="AD397" s="280"/>
      <c r="AE397" s="280"/>
      <c r="AF397" s="280"/>
      <c r="AG397" s="280"/>
      <c r="AH397" s="280"/>
      <c r="AI397" s="280"/>
      <c r="AJ397" s="280"/>
      <c r="AK397" s="280"/>
      <c r="AL397" s="280"/>
      <c r="AM397" s="280"/>
      <c r="AN397" s="280"/>
      <c r="AO397" s="280"/>
      <c r="AP397" s="280"/>
      <c r="AQ397" s="280"/>
      <c r="AR397" s="280"/>
      <c r="AS397" s="280"/>
      <c r="AT397" s="280"/>
      <c r="AU397" s="280"/>
      <c r="AV397" s="280"/>
      <c r="AW397" s="280"/>
      <c r="AX397" s="280"/>
      <c r="AY397" s="280"/>
      <c r="AZ397" s="280"/>
      <c r="BA397" s="280"/>
      <c r="BB397" s="280"/>
      <c r="BC397" s="280"/>
      <c r="BD397" s="280"/>
      <c r="BE397" s="280"/>
      <c r="BF397" s="280"/>
      <c r="BG397" s="280"/>
      <c r="BH397" s="280"/>
      <c r="BI397" s="280"/>
      <c r="BJ397" s="280"/>
      <c r="BK397" s="280"/>
      <c r="BL397" s="280"/>
      <c r="BM397" s="280"/>
      <c r="BN397" s="280"/>
      <c r="BO397" s="280"/>
      <c r="BP397" s="280"/>
      <c r="BQ397" s="280"/>
      <c r="BR397" s="280"/>
      <c r="BS397" s="280"/>
      <c r="BT397" s="280"/>
      <c r="BU397" s="280"/>
      <c r="BV397" s="280"/>
    </row>
    <row r="398" spans="2:74" x14ac:dyDescent="0.2">
      <c r="B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c r="Z398" s="280"/>
      <c r="AA398" s="280"/>
      <c r="AB398" s="280"/>
      <c r="AC398" s="280"/>
      <c r="AD398" s="280"/>
      <c r="AE398" s="280"/>
      <c r="AF398" s="280"/>
      <c r="AG398" s="280"/>
      <c r="AH398" s="280"/>
      <c r="AI398" s="280"/>
      <c r="AJ398" s="280"/>
      <c r="AK398" s="280"/>
      <c r="AL398" s="280"/>
      <c r="AM398" s="280"/>
      <c r="AN398" s="280"/>
      <c r="AO398" s="280"/>
      <c r="AP398" s="280"/>
      <c r="AQ398" s="280"/>
      <c r="AR398" s="280"/>
      <c r="AS398" s="280"/>
      <c r="AT398" s="280"/>
      <c r="AU398" s="280"/>
      <c r="AV398" s="280"/>
      <c r="AW398" s="280"/>
      <c r="AX398" s="280"/>
      <c r="AY398" s="280"/>
      <c r="AZ398" s="280"/>
      <c r="BA398" s="280"/>
      <c r="BB398" s="280"/>
      <c r="BC398" s="280"/>
      <c r="BD398" s="280"/>
      <c r="BE398" s="280"/>
      <c r="BF398" s="280"/>
      <c r="BG398" s="280"/>
      <c r="BH398" s="280"/>
      <c r="BI398" s="280"/>
      <c r="BJ398" s="280"/>
      <c r="BK398" s="280"/>
      <c r="BL398" s="280"/>
      <c r="BM398" s="280"/>
      <c r="BN398" s="280"/>
      <c r="BO398" s="280"/>
      <c r="BP398" s="280"/>
      <c r="BQ398" s="280"/>
      <c r="BR398" s="280"/>
      <c r="BS398" s="280"/>
      <c r="BT398" s="280"/>
      <c r="BU398" s="280"/>
      <c r="BV398" s="280"/>
    </row>
    <row r="399" spans="2:74" x14ac:dyDescent="0.2">
      <c r="B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c r="Z399" s="280"/>
      <c r="AA399" s="280"/>
      <c r="AB399" s="280"/>
      <c r="AC399" s="280"/>
      <c r="AD399" s="280"/>
      <c r="AE399" s="280"/>
      <c r="AF399" s="280"/>
      <c r="AG399" s="280"/>
      <c r="AH399" s="280"/>
      <c r="AI399" s="280"/>
      <c r="AJ399" s="280"/>
      <c r="AK399" s="280"/>
      <c r="AL399" s="280"/>
      <c r="AM399" s="280"/>
      <c r="AN399" s="280"/>
      <c r="AO399" s="280"/>
      <c r="AP399" s="280"/>
      <c r="AQ399" s="280"/>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row>
    <row r="400" spans="2:74" x14ac:dyDescent="0.2">
      <c r="B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c r="AA400" s="280"/>
      <c r="AB400" s="280"/>
      <c r="AC400" s="280"/>
      <c r="AD400" s="280"/>
      <c r="AE400" s="280"/>
      <c r="AF400" s="280"/>
      <c r="AG400" s="280"/>
      <c r="AH400" s="280"/>
      <c r="AI400" s="280"/>
      <c r="AJ400" s="280"/>
      <c r="AK400" s="280"/>
      <c r="AL400" s="280"/>
      <c r="AM400" s="280"/>
      <c r="AN400" s="280"/>
      <c r="AO400" s="280"/>
      <c r="AP400" s="280"/>
      <c r="AQ400" s="280"/>
      <c r="AR400" s="280"/>
      <c r="AS400" s="280"/>
      <c r="AT400" s="280"/>
      <c r="AU400" s="280"/>
      <c r="AV400" s="280"/>
      <c r="AW400" s="280"/>
      <c r="AX400" s="280"/>
      <c r="AY400" s="280"/>
      <c r="AZ400" s="280"/>
      <c r="BA400" s="280"/>
      <c r="BB400" s="280"/>
      <c r="BC400" s="280"/>
      <c r="BD400" s="280"/>
      <c r="BE400" s="280"/>
      <c r="BF400" s="280"/>
      <c r="BG400" s="280"/>
      <c r="BH400" s="280"/>
      <c r="BI400" s="280"/>
      <c r="BJ400" s="280"/>
      <c r="BK400" s="280"/>
      <c r="BL400" s="280"/>
      <c r="BM400" s="280"/>
      <c r="BN400" s="280"/>
      <c r="BO400" s="280"/>
      <c r="BP400" s="280"/>
      <c r="BQ400" s="280"/>
      <c r="BR400" s="280"/>
      <c r="BS400" s="280"/>
      <c r="BT400" s="280"/>
      <c r="BU400" s="280"/>
      <c r="BV400" s="280"/>
    </row>
    <row r="401" spans="2:74" x14ac:dyDescent="0.2">
      <c r="B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c r="AH401" s="280"/>
      <c r="AI401" s="280"/>
      <c r="AJ401" s="280"/>
      <c r="AK401" s="280"/>
      <c r="AL401" s="280"/>
      <c r="AM401" s="280"/>
      <c r="AN401" s="280"/>
      <c r="AO401" s="280"/>
      <c r="AP401" s="280"/>
      <c r="AQ401" s="280"/>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280"/>
      <c r="BP401" s="280"/>
      <c r="BQ401" s="280"/>
      <c r="BR401" s="280"/>
      <c r="BS401" s="280"/>
      <c r="BT401" s="280"/>
      <c r="BU401" s="280"/>
      <c r="BV401" s="280"/>
    </row>
    <row r="402" spans="2:74" x14ac:dyDescent="0.2">
      <c r="B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80"/>
      <c r="AC402" s="280"/>
      <c r="AD402" s="280"/>
      <c r="AE402" s="280"/>
      <c r="AF402" s="280"/>
      <c r="AG402" s="280"/>
      <c r="AH402" s="280"/>
      <c r="AI402" s="280"/>
      <c r="AJ402" s="280"/>
      <c r="AK402" s="280"/>
      <c r="AL402" s="280"/>
      <c r="AM402" s="280"/>
      <c r="AN402" s="280"/>
      <c r="AO402" s="280"/>
      <c r="AP402" s="280"/>
      <c r="AQ402" s="280"/>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row>
    <row r="403" spans="2:74" x14ac:dyDescent="0.2">
      <c r="B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c r="AA403" s="280"/>
      <c r="AB403" s="280"/>
      <c r="AC403" s="280"/>
      <c r="AD403" s="280"/>
      <c r="AE403" s="280"/>
      <c r="AF403" s="280"/>
      <c r="AG403" s="280"/>
      <c r="AH403" s="280"/>
      <c r="AI403" s="280"/>
      <c r="AJ403" s="280"/>
      <c r="AK403" s="280"/>
      <c r="AL403" s="280"/>
      <c r="AM403" s="280"/>
      <c r="AN403" s="280"/>
      <c r="AO403" s="280"/>
      <c r="AP403" s="280"/>
      <c r="AQ403" s="280"/>
      <c r="AR403" s="280"/>
      <c r="AS403" s="280"/>
      <c r="AT403" s="280"/>
      <c r="AU403" s="280"/>
      <c r="AV403" s="280"/>
      <c r="AW403" s="280"/>
      <c r="AX403" s="280"/>
      <c r="AY403" s="280"/>
      <c r="AZ403" s="280"/>
      <c r="BA403" s="280"/>
      <c r="BB403" s="280"/>
      <c r="BC403" s="280"/>
      <c r="BD403" s="280"/>
      <c r="BE403" s="280"/>
      <c r="BF403" s="280"/>
      <c r="BG403" s="280"/>
      <c r="BH403" s="280"/>
      <c r="BI403" s="280"/>
      <c r="BJ403" s="280"/>
      <c r="BK403" s="280"/>
      <c r="BL403" s="280"/>
      <c r="BM403" s="280"/>
      <c r="BN403" s="280"/>
      <c r="BO403" s="280"/>
      <c r="BP403" s="280"/>
      <c r="BQ403" s="280"/>
      <c r="BR403" s="280"/>
      <c r="BS403" s="280"/>
      <c r="BT403" s="280"/>
      <c r="BU403" s="280"/>
      <c r="BV403" s="280"/>
    </row>
    <row r="404" spans="2:74" x14ac:dyDescent="0.2">
      <c r="B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c r="AA404" s="280"/>
      <c r="AB404" s="280"/>
      <c r="AC404" s="280"/>
      <c r="AD404" s="280"/>
      <c r="AE404" s="280"/>
      <c r="AF404" s="280"/>
      <c r="AG404" s="280"/>
      <c r="AH404" s="280"/>
      <c r="AI404" s="280"/>
      <c r="AJ404" s="280"/>
      <c r="AK404" s="280"/>
      <c r="AL404" s="280"/>
      <c r="AM404" s="280"/>
      <c r="AN404" s="280"/>
      <c r="AO404" s="280"/>
      <c r="AP404" s="280"/>
      <c r="AQ404" s="280"/>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c r="BO404" s="280"/>
      <c r="BP404" s="280"/>
      <c r="BQ404" s="280"/>
      <c r="BR404" s="280"/>
      <c r="BS404" s="280"/>
      <c r="BT404" s="280"/>
      <c r="BU404" s="280"/>
      <c r="BV404" s="280"/>
    </row>
    <row r="405" spans="2:74" x14ac:dyDescent="0.2">
      <c r="B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c r="BV405" s="280"/>
    </row>
    <row r="406" spans="2:74" x14ac:dyDescent="0.2">
      <c r="B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c r="BV406" s="280"/>
    </row>
    <row r="407" spans="2:74" x14ac:dyDescent="0.2">
      <c r="B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c r="BV407" s="280"/>
    </row>
    <row r="408" spans="2:74" x14ac:dyDescent="0.2">
      <c r="B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c r="BV408" s="280"/>
    </row>
    <row r="409" spans="2:74" x14ac:dyDescent="0.2">
      <c r="B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c r="BV409" s="280"/>
    </row>
    <row r="410" spans="2:74" x14ac:dyDescent="0.2">
      <c r="B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c r="BV410" s="280"/>
    </row>
    <row r="411" spans="2:74" x14ac:dyDescent="0.2">
      <c r="B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row>
    <row r="412" spans="2:74" x14ac:dyDescent="0.2">
      <c r="B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c r="BV412" s="280"/>
    </row>
    <row r="413" spans="2:74" x14ac:dyDescent="0.2">
      <c r="B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c r="BV413" s="280"/>
    </row>
    <row r="414" spans="2:74" x14ac:dyDescent="0.2">
      <c r="B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c r="BV414" s="280"/>
    </row>
    <row r="415" spans="2:74" x14ac:dyDescent="0.2">
      <c r="B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c r="BV415" s="280"/>
    </row>
    <row r="416" spans="2:74" x14ac:dyDescent="0.2">
      <c r="B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c r="BV416" s="280"/>
    </row>
    <row r="417" spans="2:74" x14ac:dyDescent="0.2">
      <c r="B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c r="BV417" s="280"/>
    </row>
    <row r="418" spans="2:74" x14ac:dyDescent="0.2">
      <c r="B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c r="AA418" s="280"/>
      <c r="AB418" s="280"/>
      <c r="AC418" s="280"/>
      <c r="AD418" s="280"/>
      <c r="AE418" s="280"/>
      <c r="AF418" s="280"/>
      <c r="AG418" s="280"/>
      <c r="AH418" s="280"/>
      <c r="AI418" s="280"/>
      <c r="AJ418" s="280"/>
      <c r="AK418" s="280"/>
      <c r="AL418" s="280"/>
      <c r="AM418" s="280"/>
      <c r="AN418" s="280"/>
      <c r="AO418" s="280"/>
      <c r="AP418" s="280"/>
      <c r="AQ418" s="280"/>
      <c r="AR418" s="280"/>
      <c r="AS418" s="280"/>
      <c r="AT418" s="280"/>
      <c r="AU418" s="280"/>
      <c r="AV418" s="280"/>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row>
    <row r="419" spans="2:74" x14ac:dyDescent="0.2">
      <c r="B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c r="AH419" s="280"/>
      <c r="AI419" s="280"/>
      <c r="AJ419" s="280"/>
      <c r="AK419" s="280"/>
      <c r="AL419" s="280"/>
      <c r="AM419" s="280"/>
      <c r="AN419" s="280"/>
      <c r="AO419" s="280"/>
      <c r="AP419" s="280"/>
      <c r="AQ419" s="280"/>
      <c r="AR419" s="280"/>
      <c r="AS419" s="280"/>
      <c r="AT419" s="280"/>
      <c r="AU419" s="280"/>
      <c r="AV419" s="280"/>
      <c r="AW419" s="280"/>
      <c r="AX419" s="280"/>
      <c r="AY419" s="280"/>
      <c r="AZ419" s="280"/>
      <c r="BA419" s="280"/>
      <c r="BB419" s="280"/>
      <c r="BC419" s="280"/>
      <c r="BD419" s="280"/>
      <c r="BE419" s="280"/>
      <c r="BF419" s="280"/>
      <c r="BG419" s="280"/>
      <c r="BH419" s="280"/>
      <c r="BI419" s="280"/>
      <c r="BJ419" s="280"/>
      <c r="BK419" s="280"/>
      <c r="BL419" s="280"/>
      <c r="BM419" s="280"/>
      <c r="BN419" s="280"/>
      <c r="BO419" s="280"/>
      <c r="BP419" s="280"/>
      <c r="BQ419" s="280"/>
      <c r="BR419" s="280"/>
      <c r="BS419" s="280"/>
      <c r="BT419" s="280"/>
      <c r="BU419" s="280"/>
      <c r="BV419" s="280"/>
    </row>
    <row r="420" spans="2:74" x14ac:dyDescent="0.2">
      <c r="B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c r="AH420" s="280"/>
      <c r="AI420" s="280"/>
      <c r="AJ420" s="280"/>
      <c r="AK420" s="280"/>
      <c r="AL420" s="280"/>
      <c r="AM420" s="280"/>
      <c r="AN420" s="280"/>
      <c r="AO420" s="280"/>
      <c r="AP420" s="280"/>
      <c r="AQ420" s="280"/>
      <c r="AR420" s="280"/>
      <c r="AS420" s="280"/>
      <c r="AT420" s="280"/>
      <c r="AU420" s="280"/>
      <c r="AV420" s="280"/>
      <c r="AW420" s="280"/>
      <c r="AX420" s="280"/>
      <c r="AY420" s="280"/>
      <c r="AZ420" s="280"/>
      <c r="BA420" s="280"/>
      <c r="BB420" s="280"/>
      <c r="BC420" s="280"/>
      <c r="BD420" s="280"/>
      <c r="BE420" s="280"/>
      <c r="BF420" s="280"/>
      <c r="BG420" s="280"/>
      <c r="BH420" s="280"/>
      <c r="BI420" s="280"/>
      <c r="BJ420" s="280"/>
      <c r="BK420" s="280"/>
      <c r="BL420" s="280"/>
      <c r="BM420" s="280"/>
      <c r="BN420" s="280"/>
      <c r="BO420" s="280"/>
      <c r="BP420" s="280"/>
      <c r="BQ420" s="280"/>
      <c r="BR420" s="280"/>
      <c r="BS420" s="280"/>
      <c r="BT420" s="280"/>
      <c r="BU420" s="280"/>
      <c r="BV420" s="280"/>
    </row>
    <row r="421" spans="2:74" x14ac:dyDescent="0.2">
      <c r="B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c r="AH421" s="280"/>
      <c r="AI421" s="280"/>
      <c r="AJ421" s="280"/>
      <c r="AK421" s="280"/>
      <c r="AL421" s="280"/>
      <c r="AM421" s="280"/>
      <c r="AN421" s="280"/>
      <c r="AO421" s="280"/>
      <c r="AP421" s="280"/>
      <c r="AQ421" s="280"/>
      <c r="AR421" s="280"/>
      <c r="AS421" s="280"/>
      <c r="AT421" s="280"/>
      <c r="AU421" s="280"/>
      <c r="AV421" s="280"/>
      <c r="AW421" s="280"/>
      <c r="AX421" s="280"/>
      <c r="AY421" s="280"/>
      <c r="AZ421" s="280"/>
      <c r="BA421" s="280"/>
      <c r="BB421" s="280"/>
      <c r="BC421" s="280"/>
      <c r="BD421" s="280"/>
      <c r="BE421" s="280"/>
      <c r="BF421" s="280"/>
      <c r="BG421" s="280"/>
      <c r="BH421" s="280"/>
      <c r="BI421" s="280"/>
      <c r="BJ421" s="280"/>
      <c r="BK421" s="280"/>
      <c r="BL421" s="280"/>
      <c r="BM421" s="280"/>
      <c r="BN421" s="280"/>
      <c r="BO421" s="280"/>
      <c r="BP421" s="280"/>
      <c r="BQ421" s="280"/>
      <c r="BR421" s="280"/>
      <c r="BS421" s="280"/>
      <c r="BT421" s="280"/>
      <c r="BU421" s="280"/>
      <c r="BV421" s="280"/>
    </row>
    <row r="422" spans="2:74" x14ac:dyDescent="0.2">
      <c r="B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80"/>
      <c r="AJ422" s="280"/>
      <c r="AK422" s="280"/>
      <c r="AL422" s="280"/>
      <c r="AM422" s="280"/>
      <c r="AN422" s="280"/>
      <c r="AO422" s="280"/>
      <c r="AP422" s="280"/>
      <c r="AQ422" s="280"/>
      <c r="AR422" s="280"/>
      <c r="AS422" s="280"/>
      <c r="AT422" s="280"/>
      <c r="AU422" s="280"/>
      <c r="AV422" s="280"/>
      <c r="AW422" s="280"/>
      <c r="AX422" s="280"/>
      <c r="AY422" s="280"/>
      <c r="AZ422" s="280"/>
      <c r="BA422" s="280"/>
      <c r="BB422" s="280"/>
      <c r="BC422" s="280"/>
      <c r="BD422" s="280"/>
      <c r="BE422" s="280"/>
      <c r="BF422" s="280"/>
      <c r="BG422" s="280"/>
      <c r="BH422" s="280"/>
      <c r="BI422" s="280"/>
      <c r="BJ422" s="280"/>
      <c r="BK422" s="280"/>
      <c r="BL422" s="280"/>
      <c r="BM422" s="280"/>
      <c r="BN422" s="280"/>
      <c r="BO422" s="280"/>
      <c r="BP422" s="280"/>
      <c r="BQ422" s="280"/>
      <c r="BR422" s="280"/>
      <c r="BS422" s="280"/>
      <c r="BT422" s="280"/>
      <c r="BU422" s="280"/>
      <c r="BV422" s="280"/>
    </row>
    <row r="423" spans="2:74" x14ac:dyDescent="0.2">
      <c r="B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80"/>
      <c r="AJ423" s="280"/>
      <c r="AK423" s="280"/>
      <c r="AL423" s="280"/>
      <c r="AM423" s="280"/>
      <c r="AN423" s="280"/>
      <c r="AO423" s="280"/>
      <c r="AP423" s="280"/>
      <c r="AQ423" s="280"/>
      <c r="AR423" s="280"/>
      <c r="AS423" s="280"/>
      <c r="AT423" s="280"/>
      <c r="AU423" s="280"/>
      <c r="AV423" s="280"/>
      <c r="AW423" s="280"/>
      <c r="AX423" s="280"/>
      <c r="AY423" s="280"/>
      <c r="AZ423" s="280"/>
      <c r="BA423" s="280"/>
      <c r="BB423" s="280"/>
      <c r="BC423" s="280"/>
      <c r="BD423" s="280"/>
      <c r="BE423" s="280"/>
      <c r="BF423" s="280"/>
      <c r="BG423" s="280"/>
      <c r="BH423" s="280"/>
      <c r="BI423" s="280"/>
      <c r="BJ423" s="280"/>
      <c r="BK423" s="280"/>
      <c r="BL423" s="280"/>
      <c r="BM423" s="280"/>
      <c r="BN423" s="280"/>
      <c r="BO423" s="280"/>
      <c r="BP423" s="280"/>
      <c r="BQ423" s="280"/>
      <c r="BR423" s="280"/>
      <c r="BS423" s="280"/>
      <c r="BT423" s="280"/>
      <c r="BU423" s="280"/>
      <c r="BV423" s="280"/>
    </row>
    <row r="424" spans="2:74" x14ac:dyDescent="0.2">
      <c r="B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80"/>
      <c r="AJ424" s="280"/>
      <c r="AK424" s="280"/>
      <c r="AL424" s="280"/>
      <c r="AM424" s="280"/>
      <c r="AN424" s="280"/>
      <c r="AO424" s="280"/>
      <c r="AP424" s="280"/>
      <c r="AQ424" s="280"/>
      <c r="AR424" s="280"/>
      <c r="AS424" s="280"/>
      <c r="AT424" s="280"/>
      <c r="AU424" s="280"/>
      <c r="AV424" s="280"/>
      <c r="AW424" s="280"/>
      <c r="AX424" s="280"/>
      <c r="AY424" s="280"/>
      <c r="AZ424" s="280"/>
      <c r="BA424" s="280"/>
      <c r="BB424" s="280"/>
      <c r="BC424" s="280"/>
      <c r="BD424" s="280"/>
      <c r="BE424" s="280"/>
      <c r="BF424" s="280"/>
      <c r="BG424" s="280"/>
      <c r="BH424" s="280"/>
      <c r="BI424" s="280"/>
      <c r="BJ424" s="280"/>
      <c r="BK424" s="280"/>
      <c r="BL424" s="280"/>
      <c r="BM424" s="280"/>
      <c r="BN424" s="280"/>
      <c r="BO424" s="280"/>
      <c r="BP424" s="280"/>
      <c r="BQ424" s="280"/>
      <c r="BR424" s="280"/>
      <c r="BS424" s="280"/>
      <c r="BT424" s="280"/>
      <c r="BU424" s="280"/>
      <c r="BV424" s="280"/>
    </row>
    <row r="425" spans="2:74" x14ac:dyDescent="0.2">
      <c r="B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c r="BV425" s="280"/>
    </row>
    <row r="426" spans="2:74" x14ac:dyDescent="0.2">
      <c r="B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c r="BV426" s="280"/>
    </row>
    <row r="427" spans="2:74" x14ac:dyDescent="0.2">
      <c r="B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c r="AH427" s="280"/>
      <c r="AI427" s="280"/>
      <c r="AJ427" s="280"/>
      <c r="AK427" s="280"/>
      <c r="AL427" s="280"/>
      <c r="AM427" s="280"/>
      <c r="AN427" s="280"/>
      <c r="AO427" s="280"/>
      <c r="AP427" s="280"/>
      <c r="AQ427" s="280"/>
      <c r="AR427" s="280"/>
      <c r="AS427" s="280"/>
      <c r="AT427" s="280"/>
      <c r="AU427" s="280"/>
      <c r="AV427" s="280"/>
      <c r="AW427" s="280"/>
      <c r="AX427" s="280"/>
      <c r="AY427" s="280"/>
      <c r="AZ427" s="280"/>
      <c r="BA427" s="280"/>
      <c r="BB427" s="280"/>
      <c r="BC427" s="280"/>
      <c r="BD427" s="280"/>
      <c r="BE427" s="280"/>
      <c r="BF427" s="280"/>
      <c r="BG427" s="280"/>
      <c r="BH427" s="280"/>
      <c r="BI427" s="280"/>
      <c r="BJ427" s="280"/>
      <c r="BK427" s="280"/>
      <c r="BL427" s="280"/>
      <c r="BM427" s="280"/>
      <c r="BN427" s="280"/>
      <c r="BO427" s="280"/>
      <c r="BP427" s="280"/>
      <c r="BQ427" s="280"/>
      <c r="BR427" s="280"/>
      <c r="BS427" s="280"/>
      <c r="BT427" s="280"/>
      <c r="BU427" s="280"/>
      <c r="BV427" s="280"/>
    </row>
    <row r="428" spans="2:74" x14ac:dyDescent="0.2">
      <c r="B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c r="BV428" s="280"/>
    </row>
    <row r="429" spans="2:74" x14ac:dyDescent="0.2">
      <c r="B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c r="BV429" s="280"/>
    </row>
    <row r="430" spans="2:74" x14ac:dyDescent="0.2">
      <c r="B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0"/>
      <c r="AY430" s="280"/>
      <c r="AZ430" s="280"/>
      <c r="BA430" s="280"/>
      <c r="BB430" s="280"/>
      <c r="BC430" s="280"/>
      <c r="BD430" s="280"/>
      <c r="BE430" s="280"/>
      <c r="BF430" s="280"/>
      <c r="BG430" s="280"/>
      <c r="BH430" s="280"/>
      <c r="BI430" s="280"/>
      <c r="BJ430" s="280"/>
      <c r="BK430" s="280"/>
      <c r="BL430" s="280"/>
      <c r="BM430" s="280"/>
      <c r="BN430" s="280"/>
      <c r="BO430" s="280"/>
      <c r="BP430" s="280"/>
      <c r="BQ430" s="280"/>
      <c r="BR430" s="280"/>
      <c r="BS430" s="280"/>
      <c r="BT430" s="280"/>
      <c r="BU430" s="280"/>
      <c r="BV430" s="280"/>
    </row>
    <row r="431" spans="2:74" x14ac:dyDescent="0.2">
      <c r="B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c r="AH431" s="280"/>
      <c r="AI431" s="280"/>
      <c r="AJ431" s="280"/>
      <c r="AK431" s="280"/>
      <c r="AL431" s="280"/>
      <c r="AM431" s="280"/>
      <c r="AN431" s="280"/>
      <c r="AO431" s="280"/>
      <c r="AP431" s="280"/>
      <c r="AQ431" s="280"/>
      <c r="AR431" s="280"/>
      <c r="AS431" s="280"/>
      <c r="AT431" s="280"/>
      <c r="AU431" s="280"/>
      <c r="AV431" s="280"/>
      <c r="AW431" s="280"/>
      <c r="AX431" s="280"/>
      <c r="AY431" s="280"/>
      <c r="AZ431" s="280"/>
      <c r="BA431" s="280"/>
      <c r="BB431" s="280"/>
      <c r="BC431" s="280"/>
      <c r="BD431" s="280"/>
      <c r="BE431" s="280"/>
      <c r="BF431" s="280"/>
      <c r="BG431" s="280"/>
      <c r="BH431" s="280"/>
      <c r="BI431" s="280"/>
      <c r="BJ431" s="280"/>
      <c r="BK431" s="280"/>
      <c r="BL431" s="280"/>
      <c r="BM431" s="280"/>
      <c r="BN431" s="280"/>
      <c r="BO431" s="280"/>
      <c r="BP431" s="280"/>
      <c r="BQ431" s="280"/>
      <c r="BR431" s="280"/>
      <c r="BS431" s="280"/>
      <c r="BT431" s="280"/>
      <c r="BU431" s="280"/>
      <c r="BV431" s="280"/>
    </row>
    <row r="432" spans="2:74" x14ac:dyDescent="0.2">
      <c r="B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c r="Z432" s="280"/>
      <c r="AA432" s="280"/>
      <c r="AB432" s="280"/>
      <c r="AC432" s="280"/>
      <c r="AD432" s="280"/>
      <c r="AE432" s="280"/>
      <c r="AF432" s="280"/>
      <c r="AG432" s="280"/>
      <c r="AH432" s="280"/>
      <c r="AI432" s="280"/>
      <c r="AJ432" s="280"/>
      <c r="AK432" s="280"/>
      <c r="AL432" s="280"/>
      <c r="AM432" s="280"/>
      <c r="AN432" s="280"/>
      <c r="AO432" s="280"/>
      <c r="AP432" s="280"/>
      <c r="AQ432" s="280"/>
      <c r="AR432" s="280"/>
      <c r="AS432" s="280"/>
      <c r="AT432" s="280"/>
      <c r="AU432" s="280"/>
      <c r="AV432" s="280"/>
      <c r="AW432" s="280"/>
      <c r="AX432" s="280"/>
      <c r="AY432" s="280"/>
      <c r="AZ432" s="280"/>
      <c r="BA432" s="280"/>
      <c r="BB432" s="280"/>
      <c r="BC432" s="280"/>
      <c r="BD432" s="280"/>
      <c r="BE432" s="280"/>
      <c r="BF432" s="280"/>
      <c r="BG432" s="280"/>
      <c r="BH432" s="280"/>
      <c r="BI432" s="280"/>
      <c r="BJ432" s="280"/>
      <c r="BK432" s="280"/>
      <c r="BL432" s="280"/>
      <c r="BM432" s="280"/>
      <c r="BN432" s="280"/>
      <c r="BO432" s="280"/>
      <c r="BP432" s="280"/>
      <c r="BQ432" s="280"/>
      <c r="BR432" s="280"/>
      <c r="BS432" s="280"/>
      <c r="BT432" s="280"/>
      <c r="BU432" s="280"/>
      <c r="BV432" s="280"/>
    </row>
    <row r="433" spans="2:74" x14ac:dyDescent="0.2">
      <c r="B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280"/>
      <c r="AL433" s="280"/>
      <c r="AM433" s="280"/>
      <c r="AN433" s="280"/>
      <c r="AO433" s="280"/>
      <c r="AP433" s="280"/>
      <c r="AQ433" s="280"/>
      <c r="AR433" s="280"/>
      <c r="AS433" s="280"/>
      <c r="AT433" s="280"/>
      <c r="AU433" s="280"/>
      <c r="AV433" s="280"/>
      <c r="AW433" s="280"/>
      <c r="AX433" s="280"/>
      <c r="AY433" s="280"/>
      <c r="AZ433" s="280"/>
      <c r="BA433" s="280"/>
      <c r="BB433" s="280"/>
      <c r="BC433" s="280"/>
      <c r="BD433" s="280"/>
      <c r="BE433" s="280"/>
      <c r="BF433" s="280"/>
      <c r="BG433" s="280"/>
      <c r="BH433" s="280"/>
      <c r="BI433" s="280"/>
      <c r="BJ433" s="280"/>
      <c r="BK433" s="280"/>
      <c r="BL433" s="280"/>
      <c r="BM433" s="280"/>
      <c r="BN433" s="280"/>
      <c r="BO433" s="280"/>
      <c r="BP433" s="280"/>
      <c r="BQ433" s="280"/>
      <c r="BR433" s="280"/>
      <c r="BS433" s="280"/>
      <c r="BT433" s="280"/>
      <c r="BU433" s="280"/>
      <c r="BV433" s="280"/>
    </row>
    <row r="434" spans="2:74" x14ac:dyDescent="0.2">
      <c r="B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80"/>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280"/>
      <c r="BP434" s="280"/>
      <c r="BQ434" s="280"/>
      <c r="BR434" s="280"/>
      <c r="BS434" s="280"/>
      <c r="BT434" s="280"/>
      <c r="BU434" s="280"/>
      <c r="BV434" s="280"/>
    </row>
    <row r="435" spans="2:74" x14ac:dyDescent="0.2">
      <c r="B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c r="AH435" s="280"/>
      <c r="AI435" s="280"/>
      <c r="AJ435" s="280"/>
      <c r="AK435" s="280"/>
      <c r="AL435" s="280"/>
      <c r="AM435" s="280"/>
      <c r="AN435" s="280"/>
      <c r="AO435" s="280"/>
      <c r="AP435" s="280"/>
      <c r="AQ435" s="280"/>
      <c r="AR435" s="280"/>
      <c r="AS435" s="280"/>
      <c r="AT435" s="280"/>
      <c r="AU435" s="280"/>
      <c r="AV435" s="280"/>
      <c r="AW435" s="280"/>
      <c r="AX435" s="280"/>
      <c r="AY435" s="280"/>
      <c r="AZ435" s="280"/>
      <c r="BA435" s="280"/>
      <c r="BB435" s="280"/>
      <c r="BC435" s="280"/>
      <c r="BD435" s="280"/>
      <c r="BE435" s="280"/>
      <c r="BF435" s="280"/>
      <c r="BG435" s="280"/>
      <c r="BH435" s="280"/>
      <c r="BI435" s="280"/>
      <c r="BJ435" s="280"/>
      <c r="BK435" s="280"/>
      <c r="BL435" s="280"/>
      <c r="BM435" s="280"/>
      <c r="BN435" s="280"/>
      <c r="BO435" s="280"/>
      <c r="BP435" s="280"/>
      <c r="BQ435" s="280"/>
      <c r="BR435" s="280"/>
      <c r="BS435" s="280"/>
      <c r="BT435" s="280"/>
      <c r="BU435" s="280"/>
      <c r="BV435" s="280"/>
    </row>
    <row r="436" spans="2:74" x14ac:dyDescent="0.2">
      <c r="B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0"/>
      <c r="AL436" s="280"/>
      <c r="AM436" s="280"/>
      <c r="AN436" s="280"/>
      <c r="AO436" s="280"/>
      <c r="AP436" s="280"/>
      <c r="AQ436" s="280"/>
      <c r="AR436" s="280"/>
      <c r="AS436" s="280"/>
      <c r="AT436" s="280"/>
      <c r="AU436" s="280"/>
      <c r="AV436" s="280"/>
      <c r="AW436" s="280"/>
      <c r="AX436" s="280"/>
      <c r="AY436" s="280"/>
      <c r="AZ436" s="280"/>
      <c r="BA436" s="280"/>
      <c r="BB436" s="280"/>
      <c r="BC436" s="280"/>
      <c r="BD436" s="280"/>
      <c r="BE436" s="280"/>
      <c r="BF436" s="280"/>
      <c r="BG436" s="280"/>
      <c r="BH436" s="280"/>
      <c r="BI436" s="280"/>
      <c r="BJ436" s="280"/>
      <c r="BK436" s="280"/>
      <c r="BL436" s="280"/>
      <c r="BM436" s="280"/>
      <c r="BN436" s="280"/>
      <c r="BO436" s="280"/>
      <c r="BP436" s="280"/>
      <c r="BQ436" s="280"/>
      <c r="BR436" s="280"/>
      <c r="BS436" s="280"/>
      <c r="BT436" s="280"/>
      <c r="BU436" s="280"/>
      <c r="BV436" s="280"/>
    </row>
    <row r="437" spans="2:74" x14ac:dyDescent="0.2">
      <c r="B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0"/>
      <c r="AL437" s="280"/>
      <c r="AM437" s="280"/>
      <c r="AN437" s="280"/>
      <c r="AO437" s="280"/>
      <c r="AP437" s="280"/>
      <c r="AQ437" s="280"/>
      <c r="AR437" s="280"/>
      <c r="AS437" s="280"/>
      <c r="AT437" s="280"/>
      <c r="AU437" s="280"/>
      <c r="AV437" s="280"/>
      <c r="AW437" s="280"/>
      <c r="AX437" s="280"/>
      <c r="AY437" s="280"/>
      <c r="AZ437" s="280"/>
      <c r="BA437" s="280"/>
      <c r="BB437" s="280"/>
      <c r="BC437" s="280"/>
      <c r="BD437" s="280"/>
      <c r="BE437" s="280"/>
      <c r="BF437" s="280"/>
      <c r="BG437" s="280"/>
      <c r="BH437" s="280"/>
      <c r="BI437" s="280"/>
      <c r="BJ437" s="280"/>
      <c r="BK437" s="280"/>
      <c r="BL437" s="280"/>
      <c r="BM437" s="280"/>
      <c r="BN437" s="280"/>
      <c r="BO437" s="280"/>
      <c r="BP437" s="280"/>
      <c r="BQ437" s="280"/>
      <c r="BR437" s="280"/>
      <c r="BS437" s="280"/>
      <c r="BT437" s="280"/>
      <c r="BU437" s="280"/>
      <c r="BV437" s="280"/>
    </row>
    <row r="438" spans="2:74" x14ac:dyDescent="0.2">
      <c r="B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0"/>
      <c r="AL438" s="280"/>
      <c r="AM438" s="280"/>
      <c r="AN438" s="280"/>
      <c r="AO438" s="280"/>
      <c r="AP438" s="280"/>
      <c r="AQ438" s="280"/>
      <c r="AR438" s="280"/>
      <c r="AS438" s="280"/>
      <c r="AT438" s="280"/>
      <c r="AU438" s="280"/>
      <c r="AV438" s="280"/>
      <c r="AW438" s="280"/>
      <c r="AX438" s="280"/>
      <c r="AY438" s="280"/>
      <c r="AZ438" s="280"/>
      <c r="BA438" s="280"/>
      <c r="BB438" s="280"/>
      <c r="BC438" s="280"/>
      <c r="BD438" s="280"/>
      <c r="BE438" s="280"/>
      <c r="BF438" s="280"/>
      <c r="BG438" s="280"/>
      <c r="BH438" s="280"/>
      <c r="BI438" s="280"/>
      <c r="BJ438" s="280"/>
      <c r="BK438" s="280"/>
      <c r="BL438" s="280"/>
      <c r="BM438" s="280"/>
      <c r="BN438" s="280"/>
      <c r="BO438" s="280"/>
      <c r="BP438" s="280"/>
      <c r="BQ438" s="280"/>
      <c r="BR438" s="280"/>
      <c r="BS438" s="280"/>
      <c r="BT438" s="280"/>
      <c r="BU438" s="280"/>
      <c r="BV438" s="280"/>
    </row>
    <row r="439" spans="2:74" x14ac:dyDescent="0.2">
      <c r="B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280"/>
      <c r="BP439" s="280"/>
      <c r="BQ439" s="280"/>
      <c r="BR439" s="280"/>
      <c r="BS439" s="280"/>
      <c r="BT439" s="280"/>
      <c r="BU439" s="280"/>
      <c r="BV439" s="280"/>
    </row>
    <row r="440" spans="2:74" x14ac:dyDescent="0.2">
      <c r="B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0"/>
      <c r="AL440" s="280"/>
      <c r="AM440" s="280"/>
      <c r="AN440" s="280"/>
      <c r="AO440" s="280"/>
      <c r="AP440" s="280"/>
      <c r="AQ440" s="280"/>
      <c r="AR440" s="280"/>
      <c r="AS440" s="280"/>
      <c r="AT440" s="280"/>
      <c r="AU440" s="280"/>
      <c r="AV440" s="280"/>
      <c r="AW440" s="280"/>
      <c r="AX440" s="280"/>
      <c r="AY440" s="280"/>
      <c r="AZ440" s="280"/>
      <c r="BA440" s="280"/>
      <c r="BB440" s="280"/>
      <c r="BC440" s="280"/>
      <c r="BD440" s="280"/>
      <c r="BE440" s="280"/>
      <c r="BF440" s="280"/>
      <c r="BG440" s="280"/>
      <c r="BH440" s="280"/>
      <c r="BI440" s="280"/>
      <c r="BJ440" s="280"/>
      <c r="BK440" s="280"/>
      <c r="BL440" s="280"/>
      <c r="BM440" s="280"/>
      <c r="BN440" s="280"/>
      <c r="BO440" s="280"/>
      <c r="BP440" s="280"/>
      <c r="BQ440" s="280"/>
      <c r="BR440" s="280"/>
      <c r="BS440" s="280"/>
      <c r="BT440" s="280"/>
      <c r="BU440" s="280"/>
      <c r="BV440" s="280"/>
    </row>
    <row r="441" spans="2:74" x14ac:dyDescent="0.2">
      <c r="B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280"/>
      <c r="BP441" s="280"/>
      <c r="BQ441" s="280"/>
      <c r="BR441" s="280"/>
      <c r="BS441" s="280"/>
      <c r="BT441" s="280"/>
      <c r="BU441" s="280"/>
      <c r="BV441" s="280"/>
    </row>
    <row r="442" spans="2:74" x14ac:dyDescent="0.2">
      <c r="B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280"/>
      <c r="BP442" s="280"/>
      <c r="BQ442" s="280"/>
      <c r="BR442" s="280"/>
      <c r="BS442" s="280"/>
      <c r="BT442" s="280"/>
      <c r="BU442" s="280"/>
      <c r="BV442" s="280"/>
    </row>
    <row r="443" spans="2:74" x14ac:dyDescent="0.2">
      <c r="B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280"/>
      <c r="BP443" s="280"/>
      <c r="BQ443" s="280"/>
      <c r="BR443" s="280"/>
      <c r="BS443" s="280"/>
      <c r="BT443" s="280"/>
      <c r="BU443" s="280"/>
      <c r="BV443" s="280"/>
    </row>
    <row r="444" spans="2:74" x14ac:dyDescent="0.2">
      <c r="B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c r="AH444" s="280"/>
      <c r="AI444" s="280"/>
      <c r="AJ444" s="280"/>
      <c r="AK444" s="280"/>
      <c r="AL444" s="280"/>
      <c r="AM444" s="280"/>
      <c r="AN444" s="280"/>
      <c r="AO444" s="280"/>
      <c r="AP444" s="280"/>
      <c r="AQ444" s="280"/>
      <c r="AR444" s="280"/>
      <c r="AS444" s="280"/>
      <c r="AT444" s="280"/>
      <c r="AU444" s="280"/>
      <c r="AV444" s="280"/>
      <c r="AW444" s="280"/>
      <c r="AX444" s="280"/>
      <c r="AY444" s="280"/>
      <c r="AZ444" s="280"/>
      <c r="BA444" s="280"/>
      <c r="BB444" s="280"/>
      <c r="BC444" s="280"/>
      <c r="BD444" s="280"/>
      <c r="BE444" s="280"/>
      <c r="BF444" s="280"/>
      <c r="BG444" s="280"/>
      <c r="BH444" s="280"/>
      <c r="BI444" s="280"/>
      <c r="BJ444" s="280"/>
      <c r="BK444" s="280"/>
      <c r="BL444" s="280"/>
      <c r="BM444" s="280"/>
      <c r="BN444" s="280"/>
      <c r="BO444" s="280"/>
      <c r="BP444" s="280"/>
      <c r="BQ444" s="280"/>
      <c r="BR444" s="280"/>
      <c r="BS444" s="280"/>
      <c r="BT444" s="280"/>
      <c r="BU444" s="280"/>
      <c r="BV444" s="280"/>
    </row>
    <row r="445" spans="2:74" x14ac:dyDescent="0.2">
      <c r="B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c r="AA445" s="280"/>
      <c r="AB445" s="280"/>
      <c r="AC445" s="280"/>
      <c r="AD445" s="280"/>
      <c r="AE445" s="280"/>
      <c r="AF445" s="280"/>
      <c r="AG445" s="280"/>
      <c r="AH445" s="280"/>
      <c r="AI445" s="280"/>
      <c r="AJ445" s="280"/>
      <c r="AK445" s="280"/>
      <c r="AL445" s="280"/>
      <c r="AM445" s="280"/>
      <c r="AN445" s="280"/>
      <c r="AO445" s="280"/>
      <c r="AP445" s="280"/>
      <c r="AQ445" s="280"/>
      <c r="AR445" s="280"/>
      <c r="AS445" s="280"/>
      <c r="AT445" s="280"/>
      <c r="AU445" s="280"/>
      <c r="AV445" s="280"/>
      <c r="AW445" s="280"/>
      <c r="AX445" s="280"/>
      <c r="AY445" s="280"/>
      <c r="AZ445" s="280"/>
      <c r="BA445" s="280"/>
      <c r="BB445" s="280"/>
      <c r="BC445" s="280"/>
      <c r="BD445" s="280"/>
      <c r="BE445" s="280"/>
      <c r="BF445" s="280"/>
      <c r="BG445" s="280"/>
      <c r="BH445" s="280"/>
      <c r="BI445" s="280"/>
      <c r="BJ445" s="280"/>
      <c r="BK445" s="280"/>
      <c r="BL445" s="280"/>
      <c r="BM445" s="280"/>
      <c r="BN445" s="280"/>
      <c r="BO445" s="280"/>
      <c r="BP445" s="280"/>
      <c r="BQ445" s="280"/>
      <c r="BR445" s="280"/>
      <c r="BS445" s="280"/>
      <c r="BT445" s="280"/>
      <c r="BU445" s="280"/>
      <c r="BV445" s="280"/>
    </row>
    <row r="446" spans="2:74" x14ac:dyDescent="0.2">
      <c r="B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c r="AH446" s="280"/>
      <c r="AI446" s="280"/>
      <c r="AJ446" s="280"/>
      <c r="AK446" s="280"/>
      <c r="AL446" s="280"/>
      <c r="AM446" s="280"/>
      <c r="AN446" s="280"/>
      <c r="AO446" s="280"/>
      <c r="AP446" s="280"/>
      <c r="AQ446" s="280"/>
      <c r="AR446" s="280"/>
      <c r="AS446" s="280"/>
      <c r="AT446" s="280"/>
      <c r="AU446" s="280"/>
      <c r="AV446" s="280"/>
      <c r="AW446" s="280"/>
      <c r="AX446" s="280"/>
      <c r="AY446" s="280"/>
      <c r="AZ446" s="280"/>
      <c r="BA446" s="280"/>
      <c r="BB446" s="280"/>
      <c r="BC446" s="280"/>
      <c r="BD446" s="280"/>
      <c r="BE446" s="280"/>
      <c r="BF446" s="280"/>
      <c r="BG446" s="280"/>
      <c r="BH446" s="280"/>
      <c r="BI446" s="280"/>
      <c r="BJ446" s="280"/>
      <c r="BK446" s="280"/>
      <c r="BL446" s="280"/>
      <c r="BM446" s="280"/>
      <c r="BN446" s="280"/>
      <c r="BO446" s="280"/>
      <c r="BP446" s="280"/>
      <c r="BQ446" s="280"/>
      <c r="BR446" s="280"/>
      <c r="BS446" s="280"/>
      <c r="BT446" s="280"/>
      <c r="BU446" s="280"/>
      <c r="BV446" s="280"/>
    </row>
    <row r="447" spans="2:74" x14ac:dyDescent="0.2">
      <c r="B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c r="AA447" s="280"/>
      <c r="AB447" s="280"/>
      <c r="AC447" s="280"/>
      <c r="AD447" s="280"/>
      <c r="AE447" s="280"/>
      <c r="AF447" s="280"/>
      <c r="AG447" s="280"/>
      <c r="AH447" s="280"/>
      <c r="AI447" s="280"/>
      <c r="AJ447" s="280"/>
      <c r="AK447" s="280"/>
      <c r="AL447" s="280"/>
      <c r="AM447" s="280"/>
      <c r="AN447" s="280"/>
      <c r="AO447" s="280"/>
      <c r="AP447" s="280"/>
      <c r="AQ447" s="280"/>
      <c r="AR447" s="280"/>
      <c r="AS447" s="280"/>
      <c r="AT447" s="280"/>
      <c r="AU447" s="280"/>
      <c r="AV447" s="280"/>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row>
    <row r="448" spans="2:74" x14ac:dyDescent="0.2">
      <c r="B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c r="AA448" s="280"/>
      <c r="AB448" s="280"/>
      <c r="AC448" s="280"/>
      <c r="AD448" s="280"/>
      <c r="AE448" s="280"/>
      <c r="AF448" s="280"/>
      <c r="AG448" s="280"/>
      <c r="AH448" s="280"/>
      <c r="AI448" s="280"/>
      <c r="AJ448" s="280"/>
      <c r="AK448" s="280"/>
      <c r="AL448" s="280"/>
      <c r="AM448" s="280"/>
      <c r="AN448" s="280"/>
      <c r="AO448" s="280"/>
      <c r="AP448" s="280"/>
      <c r="AQ448" s="280"/>
      <c r="AR448" s="280"/>
      <c r="AS448" s="280"/>
      <c r="AT448" s="280"/>
      <c r="AU448" s="280"/>
      <c r="AV448" s="280"/>
      <c r="AW448" s="280"/>
      <c r="AX448" s="280"/>
      <c r="AY448" s="280"/>
      <c r="AZ448" s="280"/>
      <c r="BA448" s="280"/>
      <c r="BB448" s="280"/>
      <c r="BC448" s="280"/>
      <c r="BD448" s="280"/>
      <c r="BE448" s="280"/>
      <c r="BF448" s="280"/>
      <c r="BG448" s="280"/>
      <c r="BH448" s="280"/>
      <c r="BI448" s="280"/>
      <c r="BJ448" s="280"/>
      <c r="BK448" s="280"/>
      <c r="BL448" s="280"/>
      <c r="BM448" s="280"/>
      <c r="BN448" s="280"/>
      <c r="BO448" s="280"/>
      <c r="BP448" s="280"/>
      <c r="BQ448" s="280"/>
      <c r="BR448" s="280"/>
      <c r="BS448" s="280"/>
      <c r="BT448" s="280"/>
      <c r="BU448" s="280"/>
      <c r="BV448" s="280"/>
    </row>
    <row r="449" spans="2:74" x14ac:dyDescent="0.2">
      <c r="B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c r="AA449" s="280"/>
      <c r="AB449" s="280"/>
      <c r="AC449" s="280"/>
      <c r="AD449" s="280"/>
      <c r="AE449" s="280"/>
      <c r="AF449" s="280"/>
      <c r="AG449" s="280"/>
      <c r="AH449" s="280"/>
      <c r="AI449" s="280"/>
      <c r="AJ449" s="280"/>
      <c r="AK449" s="280"/>
      <c r="AL449" s="280"/>
      <c r="AM449" s="280"/>
      <c r="AN449" s="280"/>
      <c r="AO449" s="280"/>
      <c r="AP449" s="280"/>
      <c r="AQ449" s="280"/>
      <c r="AR449" s="280"/>
      <c r="AS449" s="280"/>
      <c r="AT449" s="280"/>
      <c r="AU449" s="280"/>
      <c r="AV449" s="280"/>
      <c r="AW449" s="280"/>
      <c r="AX449" s="280"/>
      <c r="AY449" s="280"/>
      <c r="AZ449" s="280"/>
      <c r="BA449" s="280"/>
      <c r="BB449" s="280"/>
      <c r="BC449" s="280"/>
      <c r="BD449" s="280"/>
      <c r="BE449" s="280"/>
      <c r="BF449" s="280"/>
      <c r="BG449" s="280"/>
      <c r="BH449" s="280"/>
      <c r="BI449" s="280"/>
      <c r="BJ449" s="280"/>
      <c r="BK449" s="280"/>
      <c r="BL449" s="280"/>
      <c r="BM449" s="280"/>
      <c r="BN449" s="280"/>
      <c r="BO449" s="280"/>
      <c r="BP449" s="280"/>
      <c r="BQ449" s="280"/>
      <c r="BR449" s="280"/>
      <c r="BS449" s="280"/>
      <c r="BT449" s="280"/>
      <c r="BU449" s="280"/>
      <c r="BV449" s="280"/>
    </row>
    <row r="450" spans="2:74" x14ac:dyDescent="0.2">
      <c r="B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c r="AA450" s="280"/>
      <c r="AB450" s="280"/>
      <c r="AC450" s="280"/>
      <c r="AD450" s="280"/>
      <c r="AE450" s="280"/>
      <c r="AF450" s="280"/>
      <c r="AG450" s="280"/>
      <c r="AH450" s="280"/>
      <c r="AI450" s="280"/>
      <c r="AJ450" s="280"/>
      <c r="AK450" s="280"/>
      <c r="AL450" s="280"/>
      <c r="AM450" s="280"/>
      <c r="AN450" s="280"/>
      <c r="AO450" s="280"/>
      <c r="AP450" s="280"/>
      <c r="AQ450" s="280"/>
      <c r="AR450" s="280"/>
      <c r="AS450" s="280"/>
      <c r="AT450" s="280"/>
      <c r="AU450" s="280"/>
      <c r="AV450" s="280"/>
      <c r="AW450" s="280"/>
      <c r="AX450" s="280"/>
      <c r="AY450" s="280"/>
      <c r="AZ450" s="280"/>
      <c r="BA450" s="280"/>
      <c r="BB450" s="280"/>
      <c r="BC450" s="280"/>
      <c r="BD450" s="280"/>
      <c r="BE450" s="280"/>
      <c r="BF450" s="280"/>
      <c r="BG450" s="280"/>
      <c r="BH450" s="280"/>
      <c r="BI450" s="280"/>
      <c r="BJ450" s="280"/>
      <c r="BK450" s="280"/>
      <c r="BL450" s="280"/>
      <c r="BM450" s="280"/>
      <c r="BN450" s="280"/>
      <c r="BO450" s="280"/>
      <c r="BP450" s="280"/>
      <c r="BQ450" s="280"/>
      <c r="BR450" s="280"/>
      <c r="BS450" s="280"/>
      <c r="BT450" s="280"/>
      <c r="BU450" s="280"/>
      <c r="BV450" s="280"/>
    </row>
    <row r="451" spans="2:74" x14ac:dyDescent="0.2">
      <c r="B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c r="AA451" s="280"/>
      <c r="AB451" s="280"/>
      <c r="AC451" s="280"/>
      <c r="AD451" s="280"/>
      <c r="AE451" s="280"/>
      <c r="AF451" s="280"/>
      <c r="AG451" s="280"/>
      <c r="AH451" s="280"/>
      <c r="AI451" s="280"/>
      <c r="AJ451" s="280"/>
      <c r="AK451" s="280"/>
      <c r="AL451" s="280"/>
      <c r="AM451" s="280"/>
      <c r="AN451" s="280"/>
      <c r="AO451" s="280"/>
      <c r="AP451" s="280"/>
      <c r="AQ451" s="280"/>
      <c r="AR451" s="280"/>
      <c r="AS451" s="280"/>
      <c r="AT451" s="280"/>
      <c r="AU451" s="280"/>
      <c r="AV451" s="280"/>
      <c r="AW451" s="280"/>
      <c r="AX451" s="280"/>
      <c r="AY451" s="280"/>
      <c r="AZ451" s="280"/>
      <c r="BA451" s="280"/>
      <c r="BB451" s="280"/>
      <c r="BC451" s="280"/>
      <c r="BD451" s="280"/>
      <c r="BE451" s="280"/>
      <c r="BF451" s="280"/>
      <c r="BG451" s="280"/>
      <c r="BH451" s="280"/>
      <c r="BI451" s="280"/>
      <c r="BJ451" s="280"/>
      <c r="BK451" s="280"/>
      <c r="BL451" s="280"/>
      <c r="BM451" s="280"/>
      <c r="BN451" s="280"/>
      <c r="BO451" s="280"/>
      <c r="BP451" s="280"/>
      <c r="BQ451" s="280"/>
      <c r="BR451" s="280"/>
      <c r="BS451" s="280"/>
      <c r="BT451" s="280"/>
      <c r="BU451" s="280"/>
      <c r="BV451" s="280"/>
    </row>
    <row r="452" spans="2:74" x14ac:dyDescent="0.2">
      <c r="B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80"/>
      <c r="AC452" s="280"/>
      <c r="AD452" s="280"/>
      <c r="AE452" s="280"/>
      <c r="AF452" s="280"/>
      <c r="AG452" s="280"/>
      <c r="AH452" s="280"/>
      <c r="AI452" s="280"/>
      <c r="AJ452" s="280"/>
      <c r="AK452" s="280"/>
      <c r="AL452" s="280"/>
      <c r="AM452" s="280"/>
      <c r="AN452" s="280"/>
      <c r="AO452" s="280"/>
      <c r="AP452" s="280"/>
      <c r="AQ452" s="280"/>
      <c r="AR452" s="280"/>
      <c r="AS452" s="280"/>
      <c r="AT452" s="280"/>
      <c r="AU452" s="280"/>
      <c r="AV452" s="280"/>
      <c r="AW452" s="280"/>
      <c r="AX452" s="280"/>
      <c r="AY452" s="280"/>
      <c r="AZ452" s="280"/>
      <c r="BA452" s="280"/>
      <c r="BB452" s="280"/>
      <c r="BC452" s="280"/>
      <c r="BD452" s="280"/>
      <c r="BE452" s="280"/>
      <c r="BF452" s="280"/>
      <c r="BG452" s="280"/>
      <c r="BH452" s="280"/>
      <c r="BI452" s="280"/>
      <c r="BJ452" s="280"/>
      <c r="BK452" s="280"/>
      <c r="BL452" s="280"/>
      <c r="BM452" s="280"/>
      <c r="BN452" s="280"/>
      <c r="BO452" s="280"/>
      <c r="BP452" s="280"/>
      <c r="BQ452" s="280"/>
      <c r="BR452" s="280"/>
      <c r="BS452" s="280"/>
      <c r="BT452" s="280"/>
      <c r="BU452" s="280"/>
      <c r="BV452" s="280"/>
    </row>
    <row r="453" spans="2:74" x14ac:dyDescent="0.2">
      <c r="B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c r="AH453" s="280"/>
      <c r="AI453" s="280"/>
      <c r="AJ453" s="280"/>
      <c r="AK453" s="280"/>
      <c r="AL453" s="280"/>
      <c r="AM453" s="280"/>
      <c r="AN453" s="280"/>
      <c r="AO453" s="280"/>
      <c r="AP453" s="280"/>
      <c r="AQ453" s="280"/>
      <c r="AR453" s="280"/>
      <c r="AS453" s="280"/>
      <c r="AT453" s="280"/>
      <c r="AU453" s="280"/>
      <c r="AV453" s="280"/>
      <c r="AW453" s="280"/>
      <c r="AX453" s="280"/>
      <c r="AY453" s="280"/>
      <c r="AZ453" s="280"/>
      <c r="BA453" s="280"/>
      <c r="BB453" s="280"/>
      <c r="BC453" s="280"/>
      <c r="BD453" s="280"/>
      <c r="BE453" s="280"/>
      <c r="BF453" s="280"/>
      <c r="BG453" s="280"/>
      <c r="BH453" s="280"/>
      <c r="BI453" s="280"/>
      <c r="BJ453" s="280"/>
      <c r="BK453" s="280"/>
      <c r="BL453" s="280"/>
      <c r="BM453" s="280"/>
      <c r="BN453" s="280"/>
      <c r="BO453" s="280"/>
      <c r="BP453" s="280"/>
      <c r="BQ453" s="280"/>
      <c r="BR453" s="280"/>
      <c r="BS453" s="280"/>
      <c r="BT453" s="280"/>
      <c r="BU453" s="280"/>
      <c r="BV453" s="280"/>
    </row>
    <row r="454" spans="2:74" x14ac:dyDescent="0.2">
      <c r="B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c r="AJ454" s="280"/>
      <c r="AK454" s="280"/>
      <c r="AL454" s="280"/>
      <c r="AM454" s="280"/>
      <c r="AN454" s="280"/>
      <c r="AO454" s="280"/>
      <c r="AP454" s="280"/>
      <c r="AQ454" s="280"/>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c r="BL454" s="280"/>
      <c r="BM454" s="280"/>
      <c r="BN454" s="280"/>
      <c r="BO454" s="280"/>
      <c r="BP454" s="280"/>
      <c r="BQ454" s="280"/>
      <c r="BR454" s="280"/>
      <c r="BS454" s="280"/>
      <c r="BT454" s="280"/>
      <c r="BU454" s="280"/>
      <c r="BV454" s="280"/>
    </row>
    <row r="455" spans="2:74" x14ac:dyDescent="0.2">
      <c r="B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c r="AA455" s="280"/>
      <c r="AB455" s="280"/>
      <c r="AC455" s="280"/>
      <c r="AD455" s="280"/>
      <c r="AE455" s="280"/>
      <c r="AF455" s="280"/>
      <c r="AG455" s="280"/>
      <c r="AH455" s="280"/>
      <c r="AI455" s="280"/>
      <c r="AJ455" s="280"/>
      <c r="AK455" s="280"/>
      <c r="AL455" s="280"/>
      <c r="AM455" s="280"/>
      <c r="AN455" s="280"/>
      <c r="AO455" s="280"/>
      <c r="AP455" s="280"/>
      <c r="AQ455" s="280"/>
      <c r="AR455" s="280"/>
      <c r="AS455" s="280"/>
      <c r="AT455" s="280"/>
      <c r="AU455" s="280"/>
      <c r="AV455" s="280"/>
      <c r="AW455" s="280"/>
      <c r="AX455" s="280"/>
      <c r="AY455" s="280"/>
      <c r="AZ455" s="280"/>
      <c r="BA455" s="280"/>
      <c r="BB455" s="280"/>
      <c r="BC455" s="280"/>
      <c r="BD455" s="280"/>
      <c r="BE455" s="280"/>
      <c r="BF455" s="280"/>
      <c r="BG455" s="280"/>
      <c r="BH455" s="280"/>
      <c r="BI455" s="280"/>
      <c r="BJ455" s="280"/>
      <c r="BK455" s="280"/>
      <c r="BL455" s="280"/>
      <c r="BM455" s="280"/>
      <c r="BN455" s="280"/>
      <c r="BO455" s="280"/>
      <c r="BP455" s="280"/>
      <c r="BQ455" s="280"/>
      <c r="BR455" s="280"/>
      <c r="BS455" s="280"/>
      <c r="BT455" s="280"/>
      <c r="BU455" s="280"/>
      <c r="BV455" s="280"/>
    </row>
    <row r="456" spans="2:74" x14ac:dyDescent="0.2">
      <c r="B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c r="AA456" s="280"/>
      <c r="AB456" s="280"/>
      <c r="AC456" s="280"/>
      <c r="AD456" s="280"/>
      <c r="AE456" s="280"/>
      <c r="AF456" s="280"/>
      <c r="AG456" s="280"/>
      <c r="AH456" s="280"/>
      <c r="AI456" s="280"/>
      <c r="AJ456" s="280"/>
      <c r="AK456" s="280"/>
      <c r="AL456" s="280"/>
      <c r="AM456" s="280"/>
      <c r="AN456" s="280"/>
      <c r="AO456" s="280"/>
      <c r="AP456" s="280"/>
      <c r="AQ456" s="280"/>
      <c r="AR456" s="280"/>
      <c r="AS456" s="280"/>
      <c r="AT456" s="280"/>
      <c r="AU456" s="280"/>
      <c r="AV456" s="280"/>
      <c r="AW456" s="280"/>
      <c r="AX456" s="280"/>
      <c r="AY456" s="280"/>
      <c r="AZ456" s="280"/>
      <c r="BA456" s="280"/>
      <c r="BB456" s="280"/>
      <c r="BC456" s="280"/>
      <c r="BD456" s="280"/>
      <c r="BE456" s="280"/>
      <c r="BF456" s="280"/>
      <c r="BG456" s="280"/>
      <c r="BH456" s="280"/>
      <c r="BI456" s="280"/>
      <c r="BJ456" s="280"/>
      <c r="BK456" s="280"/>
      <c r="BL456" s="280"/>
      <c r="BM456" s="280"/>
      <c r="BN456" s="280"/>
      <c r="BO456" s="280"/>
      <c r="BP456" s="280"/>
      <c r="BQ456" s="280"/>
      <c r="BR456" s="280"/>
      <c r="BS456" s="280"/>
      <c r="BT456" s="280"/>
      <c r="BU456" s="280"/>
      <c r="BV456" s="280"/>
    </row>
    <row r="457" spans="2:74" x14ac:dyDescent="0.2">
      <c r="B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0"/>
      <c r="AL457" s="280"/>
      <c r="AM457" s="280"/>
      <c r="AN457" s="280"/>
      <c r="AO457" s="280"/>
      <c r="AP457" s="280"/>
      <c r="AQ457" s="280"/>
      <c r="AR457" s="280"/>
      <c r="AS457" s="280"/>
      <c r="AT457" s="280"/>
      <c r="AU457" s="280"/>
      <c r="AV457" s="280"/>
      <c r="AW457" s="280"/>
      <c r="AX457" s="280"/>
      <c r="AY457" s="280"/>
      <c r="AZ457" s="280"/>
      <c r="BA457" s="280"/>
      <c r="BB457" s="280"/>
      <c r="BC457" s="280"/>
      <c r="BD457" s="280"/>
      <c r="BE457" s="280"/>
      <c r="BF457" s="280"/>
      <c r="BG457" s="280"/>
      <c r="BH457" s="280"/>
      <c r="BI457" s="280"/>
      <c r="BJ457" s="280"/>
      <c r="BK457" s="280"/>
      <c r="BL457" s="280"/>
      <c r="BM457" s="280"/>
      <c r="BN457" s="280"/>
      <c r="BO457" s="280"/>
      <c r="BP457" s="280"/>
      <c r="BQ457" s="280"/>
      <c r="BR457" s="280"/>
      <c r="BS457" s="280"/>
      <c r="BT457" s="280"/>
      <c r="BU457" s="280"/>
      <c r="BV457" s="280"/>
    </row>
    <row r="458" spans="2:74" x14ac:dyDescent="0.2">
      <c r="B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0"/>
      <c r="AL458" s="280"/>
      <c r="AM458" s="280"/>
      <c r="AN458" s="280"/>
      <c r="AO458" s="280"/>
      <c r="AP458" s="280"/>
      <c r="AQ458" s="280"/>
      <c r="AR458" s="280"/>
      <c r="AS458" s="280"/>
      <c r="AT458" s="280"/>
      <c r="AU458" s="280"/>
      <c r="AV458" s="280"/>
      <c r="AW458" s="280"/>
      <c r="AX458" s="280"/>
      <c r="AY458" s="280"/>
      <c r="AZ458" s="280"/>
      <c r="BA458" s="280"/>
      <c r="BB458" s="280"/>
      <c r="BC458" s="280"/>
      <c r="BD458" s="280"/>
      <c r="BE458" s="280"/>
      <c r="BF458" s="280"/>
      <c r="BG458" s="280"/>
      <c r="BH458" s="280"/>
      <c r="BI458" s="280"/>
      <c r="BJ458" s="280"/>
      <c r="BK458" s="280"/>
      <c r="BL458" s="280"/>
      <c r="BM458" s="280"/>
      <c r="BN458" s="280"/>
      <c r="BO458" s="280"/>
      <c r="BP458" s="280"/>
      <c r="BQ458" s="280"/>
      <c r="BR458" s="280"/>
      <c r="BS458" s="280"/>
      <c r="BT458" s="280"/>
      <c r="BU458" s="280"/>
      <c r="BV458" s="280"/>
    </row>
    <row r="459" spans="2:74" x14ac:dyDescent="0.2">
      <c r="B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c r="AH459" s="280"/>
      <c r="AI459" s="280"/>
      <c r="AJ459" s="280"/>
      <c r="AK459" s="280"/>
      <c r="AL459" s="280"/>
      <c r="AM459" s="280"/>
      <c r="AN459" s="280"/>
      <c r="AO459" s="280"/>
      <c r="AP459" s="280"/>
      <c r="AQ459" s="280"/>
      <c r="AR459" s="280"/>
      <c r="AS459" s="280"/>
      <c r="AT459" s="280"/>
      <c r="AU459" s="280"/>
      <c r="AV459" s="280"/>
      <c r="AW459" s="280"/>
      <c r="AX459" s="280"/>
      <c r="AY459" s="280"/>
      <c r="AZ459" s="280"/>
      <c r="BA459" s="280"/>
      <c r="BB459" s="280"/>
      <c r="BC459" s="280"/>
      <c r="BD459" s="280"/>
      <c r="BE459" s="280"/>
      <c r="BF459" s="280"/>
      <c r="BG459" s="280"/>
      <c r="BH459" s="280"/>
      <c r="BI459" s="280"/>
      <c r="BJ459" s="280"/>
      <c r="BK459" s="280"/>
      <c r="BL459" s="280"/>
      <c r="BM459" s="280"/>
      <c r="BN459" s="280"/>
      <c r="BO459" s="280"/>
      <c r="BP459" s="280"/>
      <c r="BQ459" s="280"/>
      <c r="BR459" s="280"/>
      <c r="BS459" s="280"/>
      <c r="BT459" s="280"/>
      <c r="BU459" s="280"/>
      <c r="BV459" s="280"/>
    </row>
    <row r="460" spans="2:74" x14ac:dyDescent="0.2">
      <c r="B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c r="AH460" s="280"/>
      <c r="AI460" s="280"/>
      <c r="AJ460" s="280"/>
      <c r="AK460" s="280"/>
      <c r="AL460" s="280"/>
      <c r="AM460" s="280"/>
      <c r="AN460" s="280"/>
      <c r="AO460" s="280"/>
      <c r="AP460" s="280"/>
      <c r="AQ460" s="280"/>
      <c r="AR460" s="280"/>
      <c r="AS460" s="280"/>
      <c r="AT460" s="280"/>
      <c r="AU460" s="280"/>
      <c r="AV460" s="280"/>
      <c r="AW460" s="280"/>
      <c r="AX460" s="280"/>
      <c r="AY460" s="280"/>
      <c r="AZ460" s="280"/>
      <c r="BA460" s="280"/>
      <c r="BB460" s="280"/>
      <c r="BC460" s="280"/>
      <c r="BD460" s="280"/>
      <c r="BE460" s="280"/>
      <c r="BF460" s="280"/>
      <c r="BG460" s="280"/>
      <c r="BH460" s="280"/>
      <c r="BI460" s="280"/>
      <c r="BJ460" s="280"/>
      <c r="BK460" s="280"/>
      <c r="BL460" s="280"/>
      <c r="BM460" s="280"/>
      <c r="BN460" s="280"/>
      <c r="BO460" s="280"/>
      <c r="BP460" s="280"/>
      <c r="BQ460" s="280"/>
      <c r="BR460" s="280"/>
      <c r="BS460" s="280"/>
      <c r="BT460" s="280"/>
      <c r="BU460" s="280"/>
      <c r="BV460" s="280"/>
    </row>
    <row r="461" spans="2:74" x14ac:dyDescent="0.2">
      <c r="B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c r="AH461" s="280"/>
      <c r="AI461" s="280"/>
      <c r="AJ461" s="280"/>
      <c r="AK461" s="280"/>
      <c r="AL461" s="280"/>
      <c r="AM461" s="280"/>
      <c r="AN461" s="280"/>
      <c r="AO461" s="280"/>
      <c r="AP461" s="280"/>
      <c r="AQ461" s="280"/>
      <c r="AR461" s="280"/>
      <c r="AS461" s="280"/>
      <c r="AT461" s="280"/>
      <c r="AU461" s="280"/>
      <c r="AV461" s="280"/>
      <c r="AW461" s="280"/>
      <c r="AX461" s="280"/>
      <c r="AY461" s="280"/>
      <c r="AZ461" s="280"/>
      <c r="BA461" s="280"/>
      <c r="BB461" s="280"/>
      <c r="BC461" s="280"/>
      <c r="BD461" s="280"/>
      <c r="BE461" s="280"/>
      <c r="BF461" s="280"/>
      <c r="BG461" s="280"/>
      <c r="BH461" s="280"/>
      <c r="BI461" s="280"/>
      <c r="BJ461" s="280"/>
      <c r="BK461" s="280"/>
      <c r="BL461" s="280"/>
      <c r="BM461" s="280"/>
      <c r="BN461" s="280"/>
      <c r="BO461" s="280"/>
      <c r="BP461" s="280"/>
      <c r="BQ461" s="280"/>
      <c r="BR461" s="280"/>
      <c r="BS461" s="280"/>
      <c r="BT461" s="280"/>
      <c r="BU461" s="280"/>
      <c r="BV461" s="280"/>
    </row>
    <row r="462" spans="2:74" x14ac:dyDescent="0.2">
      <c r="B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c r="AH462" s="280"/>
      <c r="AI462" s="280"/>
      <c r="AJ462" s="280"/>
      <c r="AK462" s="280"/>
      <c r="AL462" s="280"/>
      <c r="AM462" s="280"/>
      <c r="AN462" s="280"/>
      <c r="AO462" s="280"/>
      <c r="AP462" s="280"/>
      <c r="AQ462" s="280"/>
      <c r="AR462" s="280"/>
      <c r="AS462" s="280"/>
      <c r="AT462" s="280"/>
      <c r="AU462" s="280"/>
      <c r="AV462" s="280"/>
      <c r="AW462" s="280"/>
      <c r="AX462" s="280"/>
      <c r="AY462" s="280"/>
      <c r="AZ462" s="280"/>
      <c r="BA462" s="280"/>
      <c r="BB462" s="280"/>
      <c r="BC462" s="280"/>
      <c r="BD462" s="280"/>
      <c r="BE462" s="280"/>
      <c r="BF462" s="280"/>
      <c r="BG462" s="280"/>
      <c r="BH462" s="280"/>
      <c r="BI462" s="280"/>
      <c r="BJ462" s="280"/>
      <c r="BK462" s="280"/>
      <c r="BL462" s="280"/>
      <c r="BM462" s="280"/>
      <c r="BN462" s="280"/>
      <c r="BO462" s="280"/>
      <c r="BP462" s="280"/>
      <c r="BQ462" s="280"/>
      <c r="BR462" s="280"/>
      <c r="BS462" s="280"/>
      <c r="BT462" s="280"/>
      <c r="BU462" s="280"/>
      <c r="BV462" s="280"/>
    </row>
    <row r="463" spans="2:74" x14ac:dyDescent="0.2">
      <c r="B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c r="AA463" s="280"/>
      <c r="AB463" s="280"/>
      <c r="AC463" s="280"/>
      <c r="AD463" s="280"/>
      <c r="AE463" s="280"/>
      <c r="AF463" s="280"/>
      <c r="AG463" s="280"/>
      <c r="AH463" s="280"/>
      <c r="AI463" s="280"/>
      <c r="AJ463" s="280"/>
      <c r="AK463" s="280"/>
      <c r="AL463" s="280"/>
      <c r="AM463" s="280"/>
      <c r="AN463" s="280"/>
      <c r="AO463" s="280"/>
      <c r="AP463" s="280"/>
      <c r="AQ463" s="280"/>
      <c r="AR463" s="280"/>
      <c r="AS463" s="280"/>
      <c r="AT463" s="280"/>
      <c r="AU463" s="280"/>
      <c r="AV463" s="280"/>
      <c r="AW463" s="280"/>
      <c r="AX463" s="280"/>
      <c r="AY463" s="280"/>
      <c r="AZ463" s="280"/>
      <c r="BA463" s="280"/>
      <c r="BB463" s="280"/>
      <c r="BC463" s="280"/>
      <c r="BD463" s="280"/>
      <c r="BE463" s="280"/>
      <c r="BF463" s="280"/>
      <c r="BG463" s="280"/>
      <c r="BH463" s="280"/>
      <c r="BI463" s="280"/>
      <c r="BJ463" s="280"/>
      <c r="BK463" s="280"/>
      <c r="BL463" s="280"/>
      <c r="BM463" s="280"/>
      <c r="BN463" s="280"/>
      <c r="BO463" s="280"/>
      <c r="BP463" s="280"/>
      <c r="BQ463" s="280"/>
      <c r="BR463" s="280"/>
      <c r="BS463" s="280"/>
      <c r="BT463" s="280"/>
      <c r="BU463" s="280"/>
      <c r="BV463" s="280"/>
    </row>
    <row r="464" spans="2:74" x14ac:dyDescent="0.2">
      <c r="B464" s="280"/>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c r="Z464" s="280"/>
      <c r="AA464" s="280"/>
      <c r="AB464" s="280"/>
      <c r="AC464" s="280"/>
      <c r="AD464" s="280"/>
      <c r="AE464" s="280"/>
      <c r="AF464" s="280"/>
      <c r="AG464" s="280"/>
      <c r="AH464" s="280"/>
      <c r="AI464" s="280"/>
      <c r="AJ464" s="280"/>
      <c r="AK464" s="280"/>
      <c r="AL464" s="280"/>
      <c r="AM464" s="280"/>
      <c r="AN464" s="280"/>
      <c r="AO464" s="280"/>
      <c r="AP464" s="280"/>
      <c r="AQ464" s="280"/>
      <c r="AR464" s="280"/>
      <c r="AS464" s="280"/>
      <c r="AT464" s="280"/>
      <c r="AU464" s="280"/>
      <c r="AV464" s="280"/>
      <c r="AW464" s="280"/>
      <c r="AX464" s="280"/>
      <c r="AY464" s="280"/>
      <c r="AZ464" s="280"/>
      <c r="BA464" s="280"/>
      <c r="BB464" s="280"/>
      <c r="BC464" s="280"/>
      <c r="BD464" s="280"/>
      <c r="BE464" s="280"/>
      <c r="BF464" s="280"/>
      <c r="BG464" s="280"/>
      <c r="BH464" s="280"/>
      <c r="BI464" s="280"/>
      <c r="BJ464" s="280"/>
      <c r="BK464" s="280"/>
      <c r="BL464" s="280"/>
      <c r="BM464" s="280"/>
      <c r="BN464" s="280"/>
      <c r="BO464" s="280"/>
      <c r="BP464" s="280"/>
      <c r="BQ464" s="280"/>
      <c r="BR464" s="280"/>
      <c r="BS464" s="280"/>
      <c r="BT464" s="280"/>
      <c r="BU464" s="280"/>
      <c r="BV464" s="280"/>
    </row>
    <row r="465" spans="2:74" x14ac:dyDescent="0.2">
      <c r="B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c r="Z465" s="280"/>
      <c r="AA465" s="280"/>
      <c r="AB465" s="280"/>
      <c r="AC465" s="280"/>
      <c r="AD465" s="280"/>
      <c r="AE465" s="280"/>
      <c r="AF465" s="280"/>
      <c r="AG465" s="280"/>
      <c r="AH465" s="280"/>
      <c r="AI465" s="280"/>
      <c r="AJ465" s="280"/>
      <c r="AK465" s="280"/>
      <c r="AL465" s="280"/>
      <c r="AM465" s="280"/>
      <c r="AN465" s="280"/>
      <c r="AO465" s="280"/>
      <c r="AP465" s="280"/>
      <c r="AQ465" s="280"/>
      <c r="AR465" s="280"/>
      <c r="AS465" s="280"/>
      <c r="AT465" s="280"/>
      <c r="AU465" s="280"/>
      <c r="AV465" s="280"/>
      <c r="AW465" s="280"/>
      <c r="AX465" s="280"/>
      <c r="AY465" s="280"/>
      <c r="AZ465" s="280"/>
      <c r="BA465" s="280"/>
      <c r="BB465" s="280"/>
      <c r="BC465" s="280"/>
      <c r="BD465" s="280"/>
      <c r="BE465" s="280"/>
      <c r="BF465" s="280"/>
      <c r="BG465" s="280"/>
      <c r="BH465" s="280"/>
      <c r="BI465" s="280"/>
      <c r="BJ465" s="280"/>
      <c r="BK465" s="280"/>
      <c r="BL465" s="280"/>
      <c r="BM465" s="280"/>
      <c r="BN465" s="280"/>
      <c r="BO465" s="280"/>
      <c r="BP465" s="280"/>
      <c r="BQ465" s="280"/>
      <c r="BR465" s="280"/>
      <c r="BS465" s="280"/>
      <c r="BT465" s="280"/>
      <c r="BU465" s="280"/>
      <c r="BV465" s="280"/>
    </row>
    <row r="466" spans="2:74" x14ac:dyDescent="0.2">
      <c r="B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c r="AA466" s="280"/>
      <c r="AB466" s="280"/>
      <c r="AC466" s="280"/>
      <c r="AD466" s="280"/>
      <c r="AE466" s="280"/>
      <c r="AF466" s="280"/>
      <c r="AG466" s="280"/>
      <c r="AH466" s="280"/>
      <c r="AI466" s="280"/>
      <c r="AJ466" s="280"/>
      <c r="AK466" s="280"/>
      <c r="AL466" s="280"/>
      <c r="AM466" s="280"/>
      <c r="AN466" s="280"/>
      <c r="AO466" s="280"/>
      <c r="AP466" s="280"/>
      <c r="AQ466" s="280"/>
      <c r="AR466" s="280"/>
      <c r="AS466" s="280"/>
      <c r="AT466" s="280"/>
      <c r="AU466" s="280"/>
      <c r="AV466" s="280"/>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row>
    <row r="467" spans="2:74" x14ac:dyDescent="0.2">
      <c r="B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c r="AH467" s="280"/>
      <c r="AI467" s="280"/>
      <c r="AJ467" s="280"/>
      <c r="AK467" s="280"/>
      <c r="AL467" s="280"/>
      <c r="AM467" s="280"/>
      <c r="AN467" s="280"/>
      <c r="AO467" s="280"/>
      <c r="AP467" s="280"/>
      <c r="AQ467" s="280"/>
      <c r="AR467" s="280"/>
      <c r="AS467" s="280"/>
      <c r="AT467" s="280"/>
      <c r="AU467" s="280"/>
      <c r="AV467" s="280"/>
      <c r="AW467" s="280"/>
      <c r="AX467" s="280"/>
      <c r="AY467" s="280"/>
      <c r="AZ467" s="280"/>
      <c r="BA467" s="280"/>
      <c r="BB467" s="280"/>
      <c r="BC467" s="280"/>
      <c r="BD467" s="280"/>
      <c r="BE467" s="280"/>
      <c r="BF467" s="280"/>
      <c r="BG467" s="280"/>
      <c r="BH467" s="280"/>
      <c r="BI467" s="280"/>
      <c r="BJ467" s="280"/>
      <c r="BK467" s="280"/>
      <c r="BL467" s="280"/>
      <c r="BM467" s="280"/>
      <c r="BN467" s="280"/>
      <c r="BO467" s="280"/>
      <c r="BP467" s="280"/>
      <c r="BQ467" s="280"/>
      <c r="BR467" s="280"/>
      <c r="BS467" s="280"/>
      <c r="BT467" s="280"/>
      <c r="BU467" s="280"/>
      <c r="BV467" s="280"/>
    </row>
    <row r="468" spans="2:74" x14ac:dyDescent="0.2">
      <c r="B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c r="AH468" s="280"/>
      <c r="AI468" s="280"/>
      <c r="AJ468" s="280"/>
      <c r="AK468" s="280"/>
      <c r="AL468" s="280"/>
      <c r="AM468" s="280"/>
      <c r="AN468" s="280"/>
      <c r="AO468" s="280"/>
      <c r="AP468" s="280"/>
      <c r="AQ468" s="280"/>
      <c r="AR468" s="280"/>
      <c r="AS468" s="280"/>
      <c r="AT468" s="280"/>
      <c r="AU468" s="280"/>
      <c r="AV468" s="280"/>
      <c r="AW468" s="280"/>
      <c r="AX468" s="280"/>
      <c r="AY468" s="280"/>
      <c r="AZ468" s="280"/>
      <c r="BA468" s="280"/>
      <c r="BB468" s="280"/>
      <c r="BC468" s="280"/>
      <c r="BD468" s="280"/>
      <c r="BE468" s="280"/>
      <c r="BF468" s="280"/>
      <c r="BG468" s="280"/>
      <c r="BH468" s="280"/>
      <c r="BI468" s="280"/>
      <c r="BJ468" s="280"/>
      <c r="BK468" s="280"/>
      <c r="BL468" s="280"/>
      <c r="BM468" s="280"/>
      <c r="BN468" s="280"/>
      <c r="BO468" s="280"/>
      <c r="BP468" s="280"/>
      <c r="BQ468" s="280"/>
      <c r="BR468" s="280"/>
      <c r="BS468" s="280"/>
      <c r="BT468" s="280"/>
      <c r="BU468" s="280"/>
      <c r="BV468" s="280"/>
    </row>
    <row r="469" spans="2:74" x14ac:dyDescent="0.2">
      <c r="B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0"/>
      <c r="AL469" s="280"/>
      <c r="AM469" s="280"/>
      <c r="AN469" s="280"/>
      <c r="AO469" s="280"/>
      <c r="AP469" s="280"/>
      <c r="AQ469" s="280"/>
      <c r="AR469" s="280"/>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row>
    <row r="470" spans="2:74" x14ac:dyDescent="0.2">
      <c r="B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c r="AH470" s="280"/>
      <c r="AI470" s="280"/>
      <c r="AJ470" s="280"/>
      <c r="AK470" s="280"/>
      <c r="AL470" s="280"/>
      <c r="AM470" s="280"/>
      <c r="AN470" s="280"/>
      <c r="AO470" s="280"/>
      <c r="AP470" s="280"/>
      <c r="AQ470" s="280"/>
      <c r="AR470" s="280"/>
      <c r="AS470" s="280"/>
      <c r="AT470" s="280"/>
      <c r="AU470" s="280"/>
      <c r="AV470" s="280"/>
      <c r="AW470" s="280"/>
      <c r="AX470" s="280"/>
      <c r="AY470" s="280"/>
      <c r="AZ470" s="280"/>
      <c r="BA470" s="280"/>
      <c r="BB470" s="280"/>
      <c r="BC470" s="280"/>
      <c r="BD470" s="280"/>
      <c r="BE470" s="280"/>
      <c r="BF470" s="280"/>
      <c r="BG470" s="280"/>
      <c r="BH470" s="280"/>
      <c r="BI470" s="280"/>
      <c r="BJ470" s="280"/>
      <c r="BK470" s="280"/>
      <c r="BL470" s="280"/>
      <c r="BM470" s="280"/>
      <c r="BN470" s="280"/>
      <c r="BO470" s="280"/>
      <c r="BP470" s="280"/>
      <c r="BQ470" s="280"/>
      <c r="BR470" s="280"/>
      <c r="BS470" s="280"/>
      <c r="BT470" s="280"/>
      <c r="BU470" s="280"/>
      <c r="BV470" s="280"/>
    </row>
    <row r="471" spans="2:74" x14ac:dyDescent="0.2">
      <c r="B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c r="AK471" s="280"/>
      <c r="AL471" s="280"/>
      <c r="AM471" s="280"/>
      <c r="AN471" s="280"/>
      <c r="AO471" s="280"/>
      <c r="AP471" s="280"/>
      <c r="AQ471" s="280"/>
      <c r="AR471" s="280"/>
      <c r="AS471" s="280"/>
      <c r="AT471" s="280"/>
      <c r="AU471" s="280"/>
      <c r="AV471" s="280"/>
      <c r="AW471" s="280"/>
      <c r="AX471" s="280"/>
      <c r="AY471" s="280"/>
      <c r="AZ471" s="280"/>
      <c r="BA471" s="280"/>
      <c r="BB471" s="280"/>
      <c r="BC471" s="280"/>
      <c r="BD471" s="280"/>
      <c r="BE471" s="280"/>
      <c r="BF471" s="280"/>
      <c r="BG471" s="280"/>
      <c r="BH471" s="280"/>
      <c r="BI471" s="280"/>
      <c r="BJ471" s="280"/>
      <c r="BK471" s="280"/>
      <c r="BL471" s="280"/>
      <c r="BM471" s="280"/>
      <c r="BN471" s="280"/>
      <c r="BO471" s="280"/>
      <c r="BP471" s="280"/>
      <c r="BQ471" s="280"/>
      <c r="BR471" s="280"/>
      <c r="BS471" s="280"/>
      <c r="BT471" s="280"/>
      <c r="BU471" s="280"/>
      <c r="BV471" s="280"/>
    </row>
    <row r="472" spans="2:74" x14ac:dyDescent="0.2">
      <c r="B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0"/>
      <c r="BI472" s="280"/>
      <c r="BJ472" s="280"/>
      <c r="BK472" s="280"/>
      <c r="BL472" s="280"/>
      <c r="BM472" s="280"/>
      <c r="BN472" s="280"/>
      <c r="BO472" s="280"/>
      <c r="BP472" s="280"/>
      <c r="BQ472" s="280"/>
      <c r="BR472" s="280"/>
      <c r="BS472" s="280"/>
      <c r="BT472" s="280"/>
      <c r="BU472" s="280"/>
      <c r="BV472" s="280"/>
    </row>
    <row r="473" spans="2:74" x14ac:dyDescent="0.2">
      <c r="B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0"/>
      <c r="BI473" s="280"/>
      <c r="BJ473" s="280"/>
      <c r="BK473" s="280"/>
      <c r="BL473" s="280"/>
      <c r="BM473" s="280"/>
      <c r="BN473" s="280"/>
      <c r="BO473" s="280"/>
      <c r="BP473" s="280"/>
      <c r="BQ473" s="280"/>
      <c r="BR473" s="280"/>
      <c r="BS473" s="280"/>
      <c r="BT473" s="280"/>
      <c r="BU473" s="280"/>
      <c r="BV473" s="280"/>
    </row>
    <row r="474" spans="2:74" x14ac:dyDescent="0.2">
      <c r="B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c r="AH474" s="28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0"/>
      <c r="BI474" s="280"/>
      <c r="BJ474" s="280"/>
      <c r="BK474" s="280"/>
      <c r="BL474" s="280"/>
      <c r="BM474" s="280"/>
      <c r="BN474" s="280"/>
      <c r="BO474" s="280"/>
      <c r="BP474" s="280"/>
      <c r="BQ474" s="280"/>
      <c r="BR474" s="280"/>
      <c r="BS474" s="280"/>
      <c r="BT474" s="280"/>
      <c r="BU474" s="280"/>
      <c r="BV474" s="280"/>
    </row>
    <row r="475" spans="2:74" x14ac:dyDescent="0.2">
      <c r="B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0"/>
      <c r="BI475" s="280"/>
      <c r="BJ475" s="280"/>
      <c r="BK475" s="280"/>
      <c r="BL475" s="280"/>
      <c r="BM475" s="280"/>
      <c r="BN475" s="280"/>
      <c r="BO475" s="280"/>
      <c r="BP475" s="280"/>
      <c r="BQ475" s="280"/>
      <c r="BR475" s="280"/>
      <c r="BS475" s="280"/>
      <c r="BT475" s="280"/>
      <c r="BU475" s="280"/>
      <c r="BV475" s="280"/>
    </row>
    <row r="476" spans="2:74" x14ac:dyDescent="0.2">
      <c r="B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c r="AH476" s="280"/>
      <c r="AI476" s="280"/>
      <c r="AJ476" s="280"/>
      <c r="AK476" s="280"/>
      <c r="AL476" s="280"/>
      <c r="AM476" s="280"/>
      <c r="AN476" s="280"/>
      <c r="AO476" s="280"/>
      <c r="AP476" s="280"/>
      <c r="AQ476" s="280"/>
      <c r="AR476" s="280"/>
      <c r="AS476" s="280"/>
      <c r="AT476" s="280"/>
      <c r="AU476" s="280"/>
      <c r="AV476" s="280"/>
      <c r="AW476" s="280"/>
      <c r="AX476" s="280"/>
      <c r="AY476" s="280"/>
      <c r="AZ476" s="280"/>
      <c r="BA476" s="280"/>
      <c r="BB476" s="280"/>
      <c r="BC476" s="280"/>
      <c r="BD476" s="280"/>
      <c r="BE476" s="280"/>
      <c r="BF476" s="280"/>
      <c r="BG476" s="280"/>
      <c r="BH476" s="280"/>
      <c r="BI476" s="280"/>
      <c r="BJ476" s="280"/>
      <c r="BK476" s="280"/>
      <c r="BL476" s="280"/>
      <c r="BM476" s="280"/>
      <c r="BN476" s="280"/>
      <c r="BO476" s="280"/>
      <c r="BP476" s="280"/>
      <c r="BQ476" s="280"/>
      <c r="BR476" s="280"/>
      <c r="BS476" s="280"/>
      <c r="BT476" s="280"/>
      <c r="BU476" s="280"/>
      <c r="BV476" s="280"/>
    </row>
    <row r="477" spans="2:74" x14ac:dyDescent="0.2">
      <c r="B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c r="AH477" s="280"/>
      <c r="AI477" s="280"/>
      <c r="AJ477" s="280"/>
      <c r="AK477" s="280"/>
      <c r="AL477" s="280"/>
      <c r="AM477" s="280"/>
      <c r="AN477" s="280"/>
      <c r="AO477" s="280"/>
      <c r="AP477" s="280"/>
      <c r="AQ477" s="280"/>
      <c r="AR477" s="280"/>
      <c r="AS477" s="280"/>
      <c r="AT477" s="280"/>
      <c r="AU477" s="280"/>
      <c r="AV477" s="280"/>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row>
    <row r="478" spans="2:74" x14ac:dyDescent="0.2">
      <c r="B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c r="AH478" s="280"/>
      <c r="AI478" s="280"/>
      <c r="AJ478" s="280"/>
      <c r="AK478" s="280"/>
      <c r="AL478" s="280"/>
      <c r="AM478" s="280"/>
      <c r="AN478" s="280"/>
      <c r="AO478" s="280"/>
      <c r="AP478" s="280"/>
      <c r="AQ478" s="280"/>
      <c r="AR478" s="280"/>
      <c r="AS478" s="280"/>
      <c r="AT478" s="280"/>
      <c r="AU478" s="280"/>
      <c r="AV478" s="280"/>
      <c r="AW478" s="280"/>
      <c r="AX478" s="280"/>
      <c r="AY478" s="280"/>
      <c r="AZ478" s="280"/>
      <c r="BA478" s="280"/>
      <c r="BB478" s="280"/>
      <c r="BC478" s="280"/>
      <c r="BD478" s="280"/>
      <c r="BE478" s="280"/>
      <c r="BF478" s="280"/>
      <c r="BG478" s="280"/>
      <c r="BH478" s="280"/>
      <c r="BI478" s="280"/>
      <c r="BJ478" s="280"/>
      <c r="BK478" s="280"/>
      <c r="BL478" s="280"/>
      <c r="BM478" s="280"/>
      <c r="BN478" s="280"/>
      <c r="BO478" s="280"/>
      <c r="BP478" s="280"/>
      <c r="BQ478" s="280"/>
      <c r="BR478" s="280"/>
      <c r="BS478" s="280"/>
      <c r="BT478" s="280"/>
      <c r="BU478" s="280"/>
      <c r="BV478" s="280"/>
    </row>
    <row r="479" spans="2:74" x14ac:dyDescent="0.2">
      <c r="B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c r="AK479" s="280"/>
      <c r="AL479" s="280"/>
      <c r="AM479" s="280"/>
      <c r="AN479" s="280"/>
      <c r="AO479" s="280"/>
      <c r="AP479" s="280"/>
      <c r="AQ479" s="280"/>
      <c r="AR479" s="280"/>
      <c r="AS479" s="280"/>
      <c r="AT479" s="280"/>
      <c r="AU479" s="280"/>
      <c r="AV479" s="280"/>
      <c r="AW479" s="280"/>
      <c r="AX479" s="280"/>
      <c r="AY479" s="280"/>
      <c r="AZ479" s="280"/>
      <c r="BA479" s="280"/>
      <c r="BB479" s="280"/>
      <c r="BC479" s="280"/>
      <c r="BD479" s="280"/>
      <c r="BE479" s="280"/>
      <c r="BF479" s="280"/>
      <c r="BG479" s="280"/>
      <c r="BH479" s="280"/>
      <c r="BI479" s="280"/>
      <c r="BJ479" s="280"/>
      <c r="BK479" s="280"/>
      <c r="BL479" s="280"/>
      <c r="BM479" s="280"/>
      <c r="BN479" s="280"/>
      <c r="BO479" s="280"/>
      <c r="BP479" s="280"/>
      <c r="BQ479" s="280"/>
      <c r="BR479" s="280"/>
      <c r="BS479" s="280"/>
      <c r="BT479" s="280"/>
      <c r="BU479" s="280"/>
      <c r="BV479" s="280"/>
    </row>
    <row r="480" spans="2:74" x14ac:dyDescent="0.2">
      <c r="B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c r="AH480" s="280"/>
      <c r="AI480" s="280"/>
      <c r="AJ480" s="280"/>
      <c r="AK480" s="280"/>
      <c r="AL480" s="280"/>
      <c r="AM480" s="280"/>
      <c r="AN480" s="280"/>
      <c r="AO480" s="280"/>
      <c r="AP480" s="280"/>
      <c r="AQ480" s="280"/>
      <c r="AR480" s="280"/>
      <c r="AS480" s="280"/>
      <c r="AT480" s="280"/>
      <c r="AU480" s="280"/>
      <c r="AV480" s="280"/>
      <c r="AW480" s="280"/>
      <c r="AX480" s="280"/>
      <c r="AY480" s="280"/>
      <c r="AZ480" s="280"/>
      <c r="BA480" s="280"/>
      <c r="BB480" s="280"/>
      <c r="BC480" s="280"/>
      <c r="BD480" s="280"/>
      <c r="BE480" s="280"/>
      <c r="BF480" s="280"/>
      <c r="BG480" s="280"/>
      <c r="BH480" s="280"/>
      <c r="BI480" s="280"/>
      <c r="BJ480" s="280"/>
      <c r="BK480" s="280"/>
      <c r="BL480" s="280"/>
      <c r="BM480" s="280"/>
      <c r="BN480" s="280"/>
      <c r="BO480" s="280"/>
      <c r="BP480" s="280"/>
      <c r="BQ480" s="280"/>
      <c r="BR480" s="280"/>
      <c r="BS480" s="280"/>
      <c r="BT480" s="280"/>
      <c r="BU480" s="280"/>
      <c r="BV480" s="280"/>
    </row>
    <row r="481" spans="2:74" x14ac:dyDescent="0.2">
      <c r="B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0"/>
      <c r="AL481" s="280"/>
      <c r="AM481" s="280"/>
      <c r="AN481" s="280"/>
      <c r="AO481" s="280"/>
      <c r="AP481" s="280"/>
      <c r="AQ481" s="280"/>
      <c r="AR481" s="280"/>
      <c r="AS481" s="280"/>
      <c r="AT481" s="280"/>
      <c r="AU481" s="280"/>
      <c r="AV481" s="280"/>
      <c r="AW481" s="280"/>
      <c r="AX481" s="280"/>
      <c r="AY481" s="280"/>
      <c r="AZ481" s="280"/>
      <c r="BA481" s="280"/>
      <c r="BB481" s="280"/>
      <c r="BC481" s="280"/>
      <c r="BD481" s="280"/>
      <c r="BE481" s="280"/>
      <c r="BF481" s="280"/>
      <c r="BG481" s="280"/>
      <c r="BH481" s="280"/>
      <c r="BI481" s="280"/>
      <c r="BJ481" s="280"/>
      <c r="BK481" s="280"/>
      <c r="BL481" s="280"/>
      <c r="BM481" s="280"/>
      <c r="BN481" s="280"/>
      <c r="BO481" s="280"/>
      <c r="BP481" s="280"/>
      <c r="BQ481" s="280"/>
      <c r="BR481" s="280"/>
      <c r="BS481" s="280"/>
      <c r="BT481" s="280"/>
      <c r="BU481" s="280"/>
      <c r="BV481" s="280"/>
    </row>
    <row r="482" spans="2:74" x14ac:dyDescent="0.2">
      <c r="B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c r="AH482" s="280"/>
      <c r="AI482" s="280"/>
      <c r="AJ482" s="280"/>
      <c r="AK482" s="280"/>
      <c r="AL482" s="280"/>
      <c r="AM482" s="280"/>
      <c r="AN482" s="280"/>
      <c r="AO482" s="280"/>
      <c r="AP482" s="280"/>
      <c r="AQ482" s="280"/>
      <c r="AR482" s="280"/>
      <c r="AS482" s="280"/>
      <c r="AT482" s="280"/>
      <c r="AU482" s="280"/>
      <c r="AV482" s="280"/>
      <c r="AW482" s="280"/>
      <c r="AX482" s="280"/>
      <c r="AY482" s="280"/>
      <c r="AZ482" s="280"/>
      <c r="BA482" s="280"/>
      <c r="BB482" s="280"/>
      <c r="BC482" s="280"/>
      <c r="BD482" s="280"/>
      <c r="BE482" s="280"/>
      <c r="BF482" s="280"/>
      <c r="BG482" s="280"/>
      <c r="BH482" s="280"/>
      <c r="BI482" s="280"/>
      <c r="BJ482" s="280"/>
      <c r="BK482" s="280"/>
      <c r="BL482" s="280"/>
      <c r="BM482" s="280"/>
      <c r="BN482" s="280"/>
      <c r="BO482" s="280"/>
      <c r="BP482" s="280"/>
      <c r="BQ482" s="280"/>
      <c r="BR482" s="280"/>
      <c r="BS482" s="280"/>
      <c r="BT482" s="280"/>
      <c r="BU482" s="280"/>
      <c r="BV482" s="280"/>
    </row>
    <row r="483" spans="2:74" x14ac:dyDescent="0.2">
      <c r="B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c r="BO483" s="280"/>
      <c r="BP483" s="280"/>
      <c r="BQ483" s="280"/>
      <c r="BR483" s="280"/>
      <c r="BS483" s="280"/>
      <c r="BT483" s="280"/>
      <c r="BU483" s="280"/>
      <c r="BV483" s="280"/>
    </row>
    <row r="484" spans="2:74" x14ac:dyDescent="0.2">
      <c r="B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0"/>
      <c r="AY484" s="280"/>
      <c r="AZ484" s="280"/>
      <c r="BA484" s="280"/>
      <c r="BB484" s="280"/>
      <c r="BC484" s="280"/>
      <c r="BD484" s="280"/>
      <c r="BE484" s="280"/>
      <c r="BF484" s="280"/>
      <c r="BG484" s="280"/>
      <c r="BH484" s="280"/>
      <c r="BI484" s="280"/>
      <c r="BJ484" s="280"/>
      <c r="BK484" s="280"/>
      <c r="BL484" s="280"/>
      <c r="BM484" s="280"/>
      <c r="BN484" s="280"/>
      <c r="BO484" s="280"/>
      <c r="BP484" s="280"/>
      <c r="BQ484" s="280"/>
      <c r="BR484" s="280"/>
      <c r="BS484" s="280"/>
      <c r="BT484" s="280"/>
      <c r="BU484" s="280"/>
      <c r="BV484" s="280"/>
    </row>
    <row r="485" spans="2:74" x14ac:dyDescent="0.2">
      <c r="B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c r="AK485" s="280"/>
      <c r="AL485" s="280"/>
      <c r="AM485" s="280"/>
      <c r="AN485" s="280"/>
      <c r="AO485" s="280"/>
      <c r="AP485" s="280"/>
      <c r="AQ485" s="280"/>
      <c r="AR485" s="280"/>
      <c r="AS485" s="280"/>
      <c r="AT485" s="280"/>
      <c r="AU485" s="280"/>
      <c r="AV485" s="280"/>
      <c r="AW485" s="280"/>
      <c r="AX485" s="280"/>
      <c r="AY485" s="280"/>
      <c r="AZ485" s="280"/>
      <c r="BA485" s="280"/>
      <c r="BB485" s="280"/>
      <c r="BC485" s="280"/>
      <c r="BD485" s="280"/>
      <c r="BE485" s="280"/>
      <c r="BF485" s="280"/>
      <c r="BG485" s="280"/>
      <c r="BH485" s="280"/>
      <c r="BI485" s="280"/>
      <c r="BJ485" s="280"/>
      <c r="BK485" s="280"/>
      <c r="BL485" s="280"/>
      <c r="BM485" s="280"/>
      <c r="BN485" s="280"/>
      <c r="BO485" s="280"/>
      <c r="BP485" s="280"/>
      <c r="BQ485" s="280"/>
      <c r="BR485" s="280"/>
      <c r="BS485" s="280"/>
      <c r="BT485" s="280"/>
      <c r="BU485" s="280"/>
      <c r="BV485" s="280"/>
    </row>
    <row r="486" spans="2:74" x14ac:dyDescent="0.2">
      <c r="B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c r="AA486" s="280"/>
      <c r="AB486" s="280"/>
      <c r="AC486" s="280"/>
      <c r="AD486" s="280"/>
      <c r="AE486" s="280"/>
      <c r="AF486" s="280"/>
      <c r="AG486" s="280"/>
      <c r="AH486" s="280"/>
      <c r="AI486" s="280"/>
      <c r="AJ486" s="280"/>
      <c r="AK486" s="280"/>
      <c r="AL486" s="280"/>
      <c r="AM486" s="280"/>
      <c r="AN486" s="280"/>
      <c r="AO486" s="280"/>
      <c r="AP486" s="280"/>
      <c r="AQ486" s="280"/>
      <c r="AR486" s="280"/>
      <c r="AS486" s="280"/>
      <c r="AT486" s="280"/>
      <c r="AU486" s="280"/>
      <c r="AV486" s="280"/>
      <c r="AW486" s="280"/>
      <c r="AX486" s="280"/>
      <c r="AY486" s="280"/>
      <c r="AZ486" s="280"/>
      <c r="BA486" s="280"/>
      <c r="BB486" s="280"/>
      <c r="BC486" s="280"/>
      <c r="BD486" s="280"/>
      <c r="BE486" s="280"/>
      <c r="BF486" s="280"/>
      <c r="BG486" s="280"/>
      <c r="BH486" s="280"/>
      <c r="BI486" s="280"/>
      <c r="BJ486" s="280"/>
      <c r="BK486" s="280"/>
      <c r="BL486" s="280"/>
      <c r="BM486" s="280"/>
      <c r="BN486" s="280"/>
      <c r="BO486" s="280"/>
      <c r="BP486" s="280"/>
      <c r="BQ486" s="280"/>
      <c r="BR486" s="280"/>
      <c r="BS486" s="280"/>
      <c r="BT486" s="280"/>
      <c r="BU486" s="280"/>
      <c r="BV486" s="280"/>
    </row>
    <row r="487" spans="2:74" x14ac:dyDescent="0.2">
      <c r="B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c r="AH487" s="280"/>
      <c r="AI487" s="280"/>
      <c r="AJ487" s="280"/>
      <c r="AK487" s="280"/>
      <c r="AL487" s="280"/>
      <c r="AM487" s="280"/>
      <c r="AN487" s="280"/>
      <c r="AO487" s="280"/>
      <c r="AP487" s="280"/>
      <c r="AQ487" s="280"/>
      <c r="AR487" s="280"/>
      <c r="AS487" s="280"/>
      <c r="AT487" s="280"/>
      <c r="AU487" s="280"/>
      <c r="AV487" s="280"/>
      <c r="AW487" s="280"/>
      <c r="AX487" s="280"/>
      <c r="AY487" s="280"/>
      <c r="AZ487" s="280"/>
      <c r="BA487" s="280"/>
      <c r="BB487" s="280"/>
      <c r="BC487" s="280"/>
      <c r="BD487" s="280"/>
      <c r="BE487" s="280"/>
      <c r="BF487" s="280"/>
      <c r="BG487" s="280"/>
      <c r="BH487" s="280"/>
      <c r="BI487" s="280"/>
      <c r="BJ487" s="280"/>
      <c r="BK487" s="280"/>
      <c r="BL487" s="280"/>
      <c r="BM487" s="280"/>
      <c r="BN487" s="280"/>
      <c r="BO487" s="280"/>
      <c r="BP487" s="280"/>
      <c r="BQ487" s="280"/>
      <c r="BR487" s="280"/>
      <c r="BS487" s="280"/>
      <c r="BT487" s="280"/>
      <c r="BU487" s="280"/>
      <c r="BV487" s="280"/>
    </row>
    <row r="488" spans="2:74" x14ac:dyDescent="0.2">
      <c r="B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c r="AA488" s="280"/>
      <c r="AB488" s="280"/>
      <c r="AC488" s="280"/>
      <c r="AD488" s="280"/>
      <c r="AE488" s="280"/>
      <c r="AF488" s="280"/>
      <c r="AG488" s="280"/>
      <c r="AH488" s="280"/>
      <c r="AI488" s="280"/>
      <c r="AJ488" s="280"/>
      <c r="AK488" s="280"/>
      <c r="AL488" s="280"/>
      <c r="AM488" s="280"/>
      <c r="AN488" s="280"/>
      <c r="AO488" s="280"/>
      <c r="AP488" s="280"/>
      <c r="AQ488" s="280"/>
      <c r="AR488" s="280"/>
      <c r="AS488" s="280"/>
      <c r="AT488" s="280"/>
      <c r="AU488" s="280"/>
      <c r="AV488" s="280"/>
      <c r="AW488" s="280"/>
      <c r="AX488" s="280"/>
      <c r="AY488" s="280"/>
      <c r="AZ488" s="280"/>
      <c r="BA488" s="280"/>
      <c r="BB488" s="280"/>
      <c r="BC488" s="280"/>
      <c r="BD488" s="280"/>
      <c r="BE488" s="280"/>
      <c r="BF488" s="280"/>
      <c r="BG488" s="280"/>
      <c r="BH488" s="280"/>
      <c r="BI488" s="280"/>
      <c r="BJ488" s="280"/>
      <c r="BK488" s="280"/>
      <c r="BL488" s="280"/>
      <c r="BM488" s="280"/>
      <c r="BN488" s="280"/>
      <c r="BO488" s="280"/>
      <c r="BP488" s="280"/>
      <c r="BQ488" s="280"/>
      <c r="BR488" s="280"/>
      <c r="BS488" s="280"/>
      <c r="BT488" s="280"/>
      <c r="BU488" s="280"/>
      <c r="BV488" s="280"/>
    </row>
    <row r="489" spans="2:74" x14ac:dyDescent="0.2">
      <c r="B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c r="AJ489" s="280"/>
      <c r="AK489" s="280"/>
      <c r="AL489" s="280"/>
      <c r="AM489" s="280"/>
      <c r="AN489" s="280"/>
      <c r="AO489" s="280"/>
      <c r="AP489" s="280"/>
      <c r="AQ489" s="280"/>
      <c r="AR489" s="280"/>
      <c r="AS489" s="280"/>
      <c r="AT489" s="280"/>
      <c r="AU489" s="280"/>
      <c r="AV489" s="280"/>
      <c r="AW489" s="280"/>
      <c r="AX489" s="280"/>
      <c r="AY489" s="280"/>
      <c r="AZ489" s="280"/>
      <c r="BA489" s="280"/>
      <c r="BB489" s="280"/>
      <c r="BC489" s="280"/>
      <c r="BD489" s="280"/>
      <c r="BE489" s="280"/>
      <c r="BF489" s="280"/>
      <c r="BG489" s="280"/>
      <c r="BH489" s="280"/>
      <c r="BI489" s="280"/>
      <c r="BJ489" s="280"/>
      <c r="BK489" s="280"/>
      <c r="BL489" s="280"/>
      <c r="BM489" s="280"/>
      <c r="BN489" s="280"/>
      <c r="BO489" s="280"/>
      <c r="BP489" s="280"/>
      <c r="BQ489" s="280"/>
      <c r="BR489" s="280"/>
      <c r="BS489" s="280"/>
      <c r="BT489" s="280"/>
      <c r="BU489" s="280"/>
      <c r="BV489" s="280"/>
    </row>
    <row r="490" spans="2:74" x14ac:dyDescent="0.2">
      <c r="B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c r="AH490" s="280"/>
      <c r="AI490" s="280"/>
      <c r="AJ490" s="280"/>
      <c r="AK490" s="280"/>
      <c r="AL490" s="280"/>
      <c r="AM490" s="280"/>
      <c r="AN490" s="280"/>
      <c r="AO490" s="280"/>
      <c r="AP490" s="280"/>
      <c r="AQ490" s="280"/>
      <c r="AR490" s="280"/>
      <c r="AS490" s="280"/>
      <c r="AT490" s="280"/>
      <c r="AU490" s="280"/>
      <c r="AV490" s="280"/>
      <c r="AW490" s="280"/>
      <c r="AX490" s="280"/>
      <c r="AY490" s="280"/>
      <c r="AZ490" s="280"/>
      <c r="BA490" s="280"/>
      <c r="BB490" s="280"/>
      <c r="BC490" s="280"/>
      <c r="BD490" s="280"/>
      <c r="BE490" s="280"/>
      <c r="BF490" s="280"/>
      <c r="BG490" s="280"/>
      <c r="BH490" s="280"/>
      <c r="BI490" s="280"/>
      <c r="BJ490" s="280"/>
      <c r="BK490" s="280"/>
      <c r="BL490" s="280"/>
      <c r="BM490" s="280"/>
      <c r="BN490" s="280"/>
      <c r="BO490" s="280"/>
      <c r="BP490" s="280"/>
      <c r="BQ490" s="280"/>
      <c r="BR490" s="280"/>
      <c r="BS490" s="280"/>
      <c r="BT490" s="280"/>
      <c r="BU490" s="280"/>
      <c r="BV490" s="280"/>
    </row>
    <row r="491" spans="2:74" x14ac:dyDescent="0.2">
      <c r="B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c r="AK491" s="280"/>
      <c r="AL491" s="280"/>
      <c r="AM491" s="280"/>
      <c r="AN491" s="280"/>
      <c r="AO491" s="280"/>
      <c r="AP491" s="280"/>
      <c r="AQ491" s="280"/>
      <c r="AR491" s="280"/>
      <c r="AS491" s="280"/>
      <c r="AT491" s="280"/>
      <c r="AU491" s="280"/>
      <c r="AV491" s="280"/>
      <c r="AW491" s="280"/>
      <c r="AX491" s="280"/>
      <c r="AY491" s="280"/>
      <c r="AZ491" s="280"/>
      <c r="BA491" s="280"/>
      <c r="BB491" s="280"/>
      <c r="BC491" s="280"/>
      <c r="BD491" s="280"/>
      <c r="BE491" s="280"/>
      <c r="BF491" s="280"/>
      <c r="BG491" s="280"/>
      <c r="BH491" s="280"/>
      <c r="BI491" s="280"/>
      <c r="BJ491" s="280"/>
      <c r="BK491" s="280"/>
      <c r="BL491" s="280"/>
      <c r="BM491" s="280"/>
      <c r="BN491" s="280"/>
      <c r="BO491" s="280"/>
      <c r="BP491" s="280"/>
      <c r="BQ491" s="280"/>
      <c r="BR491" s="280"/>
      <c r="BS491" s="280"/>
      <c r="BT491" s="280"/>
      <c r="BU491" s="280"/>
      <c r="BV491" s="280"/>
    </row>
    <row r="492" spans="2:74" x14ac:dyDescent="0.2">
      <c r="B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c r="AA492" s="280"/>
      <c r="AB492" s="280"/>
      <c r="AC492" s="280"/>
      <c r="AD492" s="280"/>
      <c r="AE492" s="280"/>
      <c r="AF492" s="280"/>
      <c r="AG492" s="280"/>
      <c r="AH492" s="280"/>
      <c r="AI492" s="280"/>
      <c r="AJ492" s="280"/>
      <c r="AK492" s="280"/>
      <c r="AL492" s="280"/>
      <c r="AM492" s="280"/>
      <c r="AN492" s="280"/>
      <c r="AO492" s="280"/>
      <c r="AP492" s="280"/>
      <c r="AQ492" s="280"/>
      <c r="AR492" s="280"/>
      <c r="AS492" s="280"/>
      <c r="AT492" s="280"/>
      <c r="AU492" s="280"/>
      <c r="AV492" s="280"/>
      <c r="AW492" s="280"/>
      <c r="AX492" s="280"/>
      <c r="AY492" s="280"/>
      <c r="AZ492" s="280"/>
      <c r="BA492" s="280"/>
      <c r="BB492" s="280"/>
      <c r="BC492" s="280"/>
      <c r="BD492" s="280"/>
      <c r="BE492" s="280"/>
      <c r="BF492" s="280"/>
      <c r="BG492" s="280"/>
      <c r="BH492" s="280"/>
      <c r="BI492" s="280"/>
      <c r="BJ492" s="280"/>
      <c r="BK492" s="280"/>
      <c r="BL492" s="280"/>
      <c r="BM492" s="280"/>
      <c r="BN492" s="280"/>
      <c r="BO492" s="280"/>
      <c r="BP492" s="280"/>
      <c r="BQ492" s="280"/>
      <c r="BR492" s="280"/>
      <c r="BS492" s="280"/>
      <c r="BT492" s="280"/>
      <c r="BU492" s="280"/>
      <c r="BV492" s="280"/>
    </row>
    <row r="493" spans="2:74" x14ac:dyDescent="0.2">
      <c r="B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c r="AH493" s="280"/>
      <c r="AI493" s="280"/>
      <c r="AJ493" s="280"/>
      <c r="AK493" s="280"/>
      <c r="AL493" s="280"/>
      <c r="AM493" s="280"/>
      <c r="AN493" s="280"/>
      <c r="AO493" s="280"/>
      <c r="AP493" s="280"/>
      <c r="AQ493" s="280"/>
      <c r="AR493" s="280"/>
      <c r="AS493" s="280"/>
      <c r="AT493" s="280"/>
      <c r="AU493" s="280"/>
      <c r="AV493" s="280"/>
      <c r="AW493" s="280"/>
      <c r="AX493" s="280"/>
      <c r="AY493" s="280"/>
      <c r="AZ493" s="280"/>
      <c r="BA493" s="280"/>
      <c r="BB493" s="280"/>
      <c r="BC493" s="280"/>
      <c r="BD493" s="280"/>
      <c r="BE493" s="280"/>
      <c r="BF493" s="280"/>
      <c r="BG493" s="280"/>
      <c r="BH493" s="280"/>
      <c r="BI493" s="280"/>
      <c r="BJ493" s="280"/>
      <c r="BK493" s="280"/>
      <c r="BL493" s="280"/>
      <c r="BM493" s="280"/>
      <c r="BN493" s="280"/>
      <c r="BO493" s="280"/>
      <c r="BP493" s="280"/>
      <c r="BQ493" s="280"/>
      <c r="BR493" s="280"/>
      <c r="BS493" s="280"/>
      <c r="BT493" s="280"/>
      <c r="BU493" s="280"/>
      <c r="BV493" s="280"/>
    </row>
    <row r="494" spans="2:74" x14ac:dyDescent="0.2">
      <c r="B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c r="AH494" s="280"/>
      <c r="AI494" s="280"/>
      <c r="AJ494" s="280"/>
      <c r="AK494" s="280"/>
      <c r="AL494" s="280"/>
      <c r="AM494" s="280"/>
      <c r="AN494" s="280"/>
      <c r="AO494" s="280"/>
      <c r="AP494" s="280"/>
      <c r="AQ494" s="280"/>
      <c r="AR494" s="280"/>
      <c r="AS494" s="280"/>
      <c r="AT494" s="280"/>
      <c r="AU494" s="280"/>
      <c r="AV494" s="280"/>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row>
    <row r="495" spans="2:74" x14ac:dyDescent="0.2">
      <c r="B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c r="AK495" s="280"/>
      <c r="AL495" s="280"/>
      <c r="AM495" s="280"/>
      <c r="AN495" s="280"/>
      <c r="AO495" s="280"/>
      <c r="AP495" s="280"/>
      <c r="AQ495" s="280"/>
      <c r="AR495" s="280"/>
      <c r="AS495" s="280"/>
      <c r="AT495" s="280"/>
      <c r="AU495" s="280"/>
      <c r="AV495" s="280"/>
      <c r="AW495" s="280"/>
      <c r="AX495" s="280"/>
      <c r="AY495" s="280"/>
      <c r="AZ495" s="280"/>
      <c r="BA495" s="280"/>
      <c r="BB495" s="280"/>
      <c r="BC495" s="280"/>
      <c r="BD495" s="280"/>
      <c r="BE495" s="280"/>
      <c r="BF495" s="280"/>
      <c r="BG495" s="280"/>
      <c r="BH495" s="280"/>
      <c r="BI495" s="280"/>
      <c r="BJ495" s="280"/>
      <c r="BK495" s="280"/>
      <c r="BL495" s="280"/>
      <c r="BM495" s="280"/>
      <c r="BN495" s="280"/>
      <c r="BO495" s="280"/>
      <c r="BP495" s="280"/>
      <c r="BQ495" s="280"/>
      <c r="BR495" s="280"/>
      <c r="BS495" s="280"/>
      <c r="BT495" s="280"/>
      <c r="BU495" s="280"/>
      <c r="BV495" s="280"/>
    </row>
    <row r="496" spans="2:74" x14ac:dyDescent="0.2">
      <c r="B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0"/>
      <c r="AB496" s="280"/>
      <c r="AC496" s="280"/>
      <c r="AD496" s="280"/>
      <c r="AE496" s="280"/>
      <c r="AF496" s="280"/>
      <c r="AG496" s="280"/>
      <c r="AH496" s="280"/>
      <c r="AI496" s="280"/>
      <c r="AJ496" s="280"/>
      <c r="AK496" s="280"/>
      <c r="AL496" s="280"/>
      <c r="AM496" s="280"/>
      <c r="AN496" s="280"/>
      <c r="AO496" s="280"/>
      <c r="AP496" s="280"/>
      <c r="AQ496" s="280"/>
      <c r="AR496" s="280"/>
      <c r="AS496" s="280"/>
      <c r="AT496" s="280"/>
      <c r="AU496" s="280"/>
      <c r="AV496" s="280"/>
      <c r="AW496" s="280"/>
      <c r="AX496" s="280"/>
      <c r="AY496" s="280"/>
      <c r="AZ496" s="280"/>
      <c r="BA496" s="280"/>
      <c r="BB496" s="280"/>
      <c r="BC496" s="280"/>
      <c r="BD496" s="280"/>
      <c r="BE496" s="280"/>
      <c r="BF496" s="280"/>
      <c r="BG496" s="280"/>
      <c r="BH496" s="280"/>
      <c r="BI496" s="280"/>
      <c r="BJ496" s="280"/>
      <c r="BK496" s="280"/>
      <c r="BL496" s="280"/>
      <c r="BM496" s="280"/>
      <c r="BN496" s="280"/>
      <c r="BO496" s="280"/>
      <c r="BP496" s="280"/>
      <c r="BQ496" s="280"/>
      <c r="BR496" s="280"/>
      <c r="BS496" s="280"/>
      <c r="BT496" s="280"/>
      <c r="BU496" s="280"/>
      <c r="BV496" s="280"/>
    </row>
    <row r="497" spans="2:74" x14ac:dyDescent="0.2">
      <c r="B497" s="280"/>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0"/>
      <c r="AB497" s="280"/>
      <c r="AC497" s="280"/>
      <c r="AD497" s="280"/>
      <c r="AE497" s="280"/>
      <c r="AF497" s="280"/>
      <c r="AG497" s="280"/>
      <c r="AH497" s="280"/>
      <c r="AI497" s="280"/>
      <c r="AJ497" s="280"/>
      <c r="AK497" s="280"/>
      <c r="AL497" s="280"/>
      <c r="AM497" s="280"/>
      <c r="AN497" s="280"/>
      <c r="AO497" s="280"/>
      <c r="AP497" s="280"/>
      <c r="AQ497" s="280"/>
      <c r="AR497" s="280"/>
      <c r="AS497" s="280"/>
      <c r="AT497" s="280"/>
      <c r="AU497" s="280"/>
      <c r="AV497" s="280"/>
      <c r="AW497" s="280"/>
      <c r="AX497" s="280"/>
      <c r="AY497" s="280"/>
      <c r="AZ497" s="280"/>
      <c r="BA497" s="280"/>
      <c r="BB497" s="280"/>
      <c r="BC497" s="280"/>
      <c r="BD497" s="280"/>
      <c r="BE497" s="280"/>
      <c r="BF497" s="280"/>
      <c r="BG497" s="280"/>
      <c r="BH497" s="280"/>
      <c r="BI497" s="280"/>
      <c r="BJ497" s="280"/>
      <c r="BK497" s="280"/>
      <c r="BL497" s="280"/>
      <c r="BM497" s="280"/>
      <c r="BN497" s="280"/>
      <c r="BO497" s="280"/>
      <c r="BP497" s="280"/>
      <c r="BQ497" s="280"/>
      <c r="BR497" s="280"/>
      <c r="BS497" s="280"/>
      <c r="BT497" s="280"/>
      <c r="BU497" s="280"/>
      <c r="BV497" s="280"/>
    </row>
    <row r="498" spans="2:74" x14ac:dyDescent="0.2">
      <c r="B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0"/>
      <c r="AB498" s="280"/>
      <c r="AC498" s="280"/>
      <c r="AD498" s="280"/>
      <c r="AE498" s="280"/>
      <c r="AF498" s="280"/>
      <c r="AG498" s="280"/>
      <c r="AH498" s="28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0"/>
      <c r="BI498" s="280"/>
      <c r="BJ498" s="280"/>
      <c r="BK498" s="280"/>
      <c r="BL498" s="280"/>
      <c r="BM498" s="280"/>
      <c r="BN498" s="280"/>
      <c r="BO498" s="280"/>
      <c r="BP498" s="280"/>
      <c r="BQ498" s="280"/>
      <c r="BR498" s="280"/>
      <c r="BS498" s="280"/>
      <c r="BT498" s="280"/>
      <c r="BU498" s="280"/>
      <c r="BV498" s="280"/>
    </row>
    <row r="499" spans="2:74" x14ac:dyDescent="0.2">
      <c r="B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c r="AH499" s="28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0"/>
      <c r="BI499" s="280"/>
      <c r="BJ499" s="280"/>
      <c r="BK499" s="280"/>
      <c r="BL499" s="280"/>
      <c r="BM499" s="280"/>
      <c r="BN499" s="280"/>
      <c r="BO499" s="280"/>
      <c r="BP499" s="280"/>
      <c r="BQ499" s="280"/>
      <c r="BR499" s="280"/>
      <c r="BS499" s="280"/>
      <c r="BT499" s="280"/>
      <c r="BU499" s="280"/>
      <c r="BV499" s="280"/>
    </row>
    <row r="500" spans="2:74" x14ac:dyDescent="0.2">
      <c r="B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c r="AA500" s="280"/>
      <c r="AB500" s="280"/>
      <c r="AC500" s="280"/>
      <c r="AD500" s="280"/>
      <c r="AE500" s="280"/>
      <c r="AF500" s="280"/>
      <c r="AG500" s="280"/>
      <c r="AH500" s="280"/>
      <c r="AI500" s="280"/>
      <c r="AJ500" s="280"/>
      <c r="AK500" s="280"/>
      <c r="AL500" s="280"/>
      <c r="AM500" s="280"/>
      <c r="AN500" s="280"/>
      <c r="AO500" s="280"/>
      <c r="AP500" s="280"/>
      <c r="AQ500" s="280"/>
      <c r="AR500" s="280"/>
      <c r="AS500" s="280"/>
      <c r="AT500" s="280"/>
      <c r="AU500" s="280"/>
      <c r="AV500" s="280"/>
      <c r="AW500" s="280"/>
      <c r="AX500" s="280"/>
      <c r="AY500" s="280"/>
      <c r="AZ500" s="280"/>
      <c r="BA500" s="280"/>
      <c r="BB500" s="280"/>
      <c r="BC500" s="280"/>
      <c r="BD500" s="280"/>
      <c r="BE500" s="280"/>
      <c r="BF500" s="280"/>
      <c r="BG500" s="280"/>
      <c r="BH500" s="280"/>
      <c r="BI500" s="280"/>
      <c r="BJ500" s="280"/>
      <c r="BK500" s="280"/>
      <c r="BL500" s="280"/>
      <c r="BM500" s="280"/>
      <c r="BN500" s="280"/>
      <c r="BO500" s="280"/>
      <c r="BP500" s="280"/>
      <c r="BQ500" s="280"/>
      <c r="BR500" s="280"/>
      <c r="BS500" s="280"/>
      <c r="BT500" s="280"/>
      <c r="BU500" s="280"/>
      <c r="BV500" s="280"/>
    </row>
    <row r="501" spans="2:74" x14ac:dyDescent="0.2">
      <c r="B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c r="AA501" s="280"/>
      <c r="AB501" s="280"/>
      <c r="AC501" s="280"/>
      <c r="AD501" s="280"/>
      <c r="AE501" s="280"/>
      <c r="AF501" s="280"/>
      <c r="AG501" s="280"/>
      <c r="AH501" s="280"/>
      <c r="AI501" s="280"/>
      <c r="AJ501" s="280"/>
      <c r="AK501" s="280"/>
      <c r="AL501" s="280"/>
      <c r="AM501" s="280"/>
      <c r="AN501" s="280"/>
      <c r="AO501" s="280"/>
      <c r="AP501" s="280"/>
      <c r="AQ501" s="280"/>
      <c r="AR501" s="280"/>
      <c r="AS501" s="280"/>
      <c r="AT501" s="280"/>
      <c r="AU501" s="280"/>
      <c r="AV501" s="280"/>
      <c r="AW501" s="280"/>
      <c r="AX501" s="280"/>
      <c r="AY501" s="280"/>
      <c r="AZ501" s="280"/>
      <c r="BA501" s="280"/>
      <c r="BB501" s="280"/>
      <c r="BC501" s="280"/>
      <c r="BD501" s="280"/>
      <c r="BE501" s="280"/>
      <c r="BF501" s="280"/>
      <c r="BG501" s="280"/>
      <c r="BH501" s="280"/>
      <c r="BI501" s="280"/>
      <c r="BJ501" s="280"/>
      <c r="BK501" s="280"/>
      <c r="BL501" s="280"/>
      <c r="BM501" s="280"/>
      <c r="BN501" s="280"/>
      <c r="BO501" s="280"/>
      <c r="BP501" s="280"/>
      <c r="BQ501" s="280"/>
      <c r="BR501" s="280"/>
      <c r="BS501" s="280"/>
      <c r="BT501" s="280"/>
      <c r="BU501" s="280"/>
      <c r="BV501" s="280"/>
    </row>
    <row r="502" spans="2:74" x14ac:dyDescent="0.2">
      <c r="B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c r="AA502" s="280"/>
      <c r="AB502" s="280"/>
      <c r="AC502" s="280"/>
      <c r="AD502" s="280"/>
      <c r="AE502" s="280"/>
      <c r="AF502" s="280"/>
      <c r="AG502" s="280"/>
      <c r="AH502" s="280"/>
      <c r="AI502" s="280"/>
      <c r="AJ502" s="280"/>
      <c r="AK502" s="280"/>
      <c r="AL502" s="280"/>
      <c r="AM502" s="280"/>
      <c r="AN502" s="280"/>
      <c r="AO502" s="280"/>
      <c r="AP502" s="280"/>
      <c r="AQ502" s="280"/>
      <c r="AR502" s="280"/>
      <c r="AS502" s="280"/>
      <c r="AT502" s="280"/>
      <c r="AU502" s="280"/>
      <c r="AV502" s="280"/>
      <c r="AW502" s="280"/>
      <c r="AX502" s="280"/>
      <c r="AY502" s="280"/>
      <c r="AZ502" s="280"/>
      <c r="BA502" s="280"/>
      <c r="BB502" s="280"/>
      <c r="BC502" s="280"/>
      <c r="BD502" s="280"/>
      <c r="BE502" s="280"/>
      <c r="BF502" s="280"/>
      <c r="BG502" s="280"/>
      <c r="BH502" s="280"/>
      <c r="BI502" s="280"/>
      <c r="BJ502" s="280"/>
      <c r="BK502" s="280"/>
      <c r="BL502" s="280"/>
      <c r="BM502" s="280"/>
      <c r="BN502" s="280"/>
      <c r="BO502" s="280"/>
      <c r="BP502" s="280"/>
      <c r="BQ502" s="280"/>
      <c r="BR502" s="280"/>
      <c r="BS502" s="280"/>
      <c r="BT502" s="280"/>
      <c r="BU502" s="280"/>
      <c r="BV502" s="280"/>
    </row>
    <row r="503" spans="2:74" x14ac:dyDescent="0.2">
      <c r="B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c r="AA503" s="280"/>
      <c r="AB503" s="280"/>
      <c r="AC503" s="280"/>
      <c r="AD503" s="280"/>
      <c r="AE503" s="280"/>
      <c r="AF503" s="280"/>
      <c r="AG503" s="280"/>
      <c r="AH503" s="280"/>
      <c r="AI503" s="280"/>
      <c r="AJ503" s="280"/>
      <c r="AK503" s="280"/>
      <c r="AL503" s="280"/>
      <c r="AM503" s="280"/>
      <c r="AN503" s="280"/>
      <c r="AO503" s="280"/>
      <c r="AP503" s="280"/>
      <c r="AQ503" s="280"/>
      <c r="AR503" s="280"/>
      <c r="AS503" s="280"/>
      <c r="AT503" s="280"/>
      <c r="AU503" s="280"/>
      <c r="AV503" s="280"/>
      <c r="AW503" s="280"/>
      <c r="AX503" s="280"/>
      <c r="AY503" s="280"/>
      <c r="AZ503" s="280"/>
      <c r="BA503" s="280"/>
      <c r="BB503" s="280"/>
      <c r="BC503" s="280"/>
      <c r="BD503" s="280"/>
      <c r="BE503" s="280"/>
      <c r="BF503" s="280"/>
      <c r="BG503" s="280"/>
      <c r="BH503" s="280"/>
      <c r="BI503" s="280"/>
      <c r="BJ503" s="280"/>
      <c r="BK503" s="280"/>
      <c r="BL503" s="280"/>
      <c r="BM503" s="280"/>
      <c r="BN503" s="280"/>
      <c r="BO503" s="280"/>
      <c r="BP503" s="280"/>
      <c r="BQ503" s="280"/>
      <c r="BR503" s="280"/>
      <c r="BS503" s="280"/>
      <c r="BT503" s="280"/>
      <c r="BU503" s="280"/>
      <c r="BV503" s="280"/>
    </row>
    <row r="504" spans="2:74" x14ac:dyDescent="0.2">
      <c r="B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0"/>
      <c r="AB504" s="280"/>
      <c r="AC504" s="280"/>
      <c r="AD504" s="280"/>
      <c r="AE504" s="280"/>
      <c r="AF504" s="280"/>
      <c r="AG504" s="280"/>
      <c r="AH504" s="280"/>
      <c r="AI504" s="280"/>
      <c r="AJ504" s="280"/>
      <c r="AK504" s="280"/>
      <c r="AL504" s="280"/>
      <c r="AM504" s="280"/>
      <c r="AN504" s="280"/>
      <c r="AO504" s="280"/>
      <c r="AP504" s="280"/>
      <c r="AQ504" s="280"/>
      <c r="AR504" s="280"/>
      <c r="AS504" s="280"/>
      <c r="AT504" s="280"/>
      <c r="AU504" s="280"/>
      <c r="AV504" s="280"/>
      <c r="AW504" s="280"/>
      <c r="AX504" s="280"/>
      <c r="AY504" s="280"/>
      <c r="AZ504" s="280"/>
      <c r="BA504" s="280"/>
      <c r="BB504" s="280"/>
      <c r="BC504" s="280"/>
      <c r="BD504" s="280"/>
      <c r="BE504" s="280"/>
      <c r="BF504" s="280"/>
      <c r="BG504" s="280"/>
      <c r="BH504" s="280"/>
      <c r="BI504" s="280"/>
      <c r="BJ504" s="280"/>
      <c r="BK504" s="280"/>
      <c r="BL504" s="280"/>
      <c r="BM504" s="280"/>
      <c r="BN504" s="280"/>
      <c r="BO504" s="280"/>
      <c r="BP504" s="280"/>
      <c r="BQ504" s="280"/>
      <c r="BR504" s="280"/>
      <c r="BS504" s="280"/>
      <c r="BT504" s="280"/>
      <c r="BU504" s="280"/>
      <c r="BV504" s="280"/>
    </row>
    <row r="505" spans="2:74" x14ac:dyDescent="0.2">
      <c r="B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0"/>
      <c r="AB505" s="280"/>
      <c r="AC505" s="280"/>
      <c r="AD505" s="280"/>
      <c r="AE505" s="280"/>
      <c r="AF505" s="280"/>
      <c r="AG505" s="280"/>
      <c r="AH505" s="280"/>
      <c r="AI505" s="280"/>
      <c r="AJ505" s="280"/>
      <c r="AK505" s="280"/>
      <c r="AL505" s="280"/>
      <c r="AM505" s="280"/>
      <c r="AN505" s="280"/>
      <c r="AO505" s="280"/>
      <c r="AP505" s="280"/>
      <c r="AQ505" s="280"/>
      <c r="AR505" s="280"/>
      <c r="AS505" s="280"/>
      <c r="AT505" s="280"/>
      <c r="AU505" s="280"/>
      <c r="AV505" s="280"/>
      <c r="AW505" s="280"/>
      <c r="AX505" s="280"/>
      <c r="AY505" s="280"/>
      <c r="AZ505" s="280"/>
      <c r="BA505" s="280"/>
      <c r="BB505" s="280"/>
      <c r="BC505" s="280"/>
      <c r="BD505" s="280"/>
      <c r="BE505" s="280"/>
      <c r="BF505" s="280"/>
      <c r="BG505" s="280"/>
      <c r="BH505" s="280"/>
      <c r="BI505" s="280"/>
      <c r="BJ505" s="280"/>
      <c r="BK505" s="280"/>
      <c r="BL505" s="280"/>
      <c r="BM505" s="280"/>
      <c r="BN505" s="280"/>
      <c r="BO505" s="280"/>
      <c r="BP505" s="280"/>
      <c r="BQ505" s="280"/>
      <c r="BR505" s="280"/>
      <c r="BS505" s="280"/>
      <c r="BT505" s="280"/>
      <c r="BU505" s="280"/>
      <c r="BV505" s="280"/>
    </row>
    <row r="506" spans="2:74" x14ac:dyDescent="0.2">
      <c r="B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0"/>
      <c r="AB506" s="280"/>
      <c r="AC506" s="280"/>
      <c r="AD506" s="280"/>
      <c r="AE506" s="280"/>
      <c r="AF506" s="280"/>
      <c r="AG506" s="280"/>
      <c r="AH506" s="280"/>
      <c r="AI506" s="280"/>
      <c r="AJ506" s="280"/>
      <c r="AK506" s="280"/>
      <c r="AL506" s="280"/>
      <c r="AM506" s="280"/>
      <c r="AN506" s="280"/>
      <c r="AO506" s="280"/>
      <c r="AP506" s="280"/>
      <c r="AQ506" s="280"/>
      <c r="AR506" s="280"/>
      <c r="AS506" s="280"/>
      <c r="AT506" s="280"/>
      <c r="AU506" s="280"/>
      <c r="AV506" s="280"/>
      <c r="AW506" s="280"/>
      <c r="AX506" s="280"/>
      <c r="AY506" s="280"/>
      <c r="AZ506" s="280"/>
      <c r="BA506" s="280"/>
      <c r="BB506" s="280"/>
      <c r="BC506" s="280"/>
      <c r="BD506" s="280"/>
      <c r="BE506" s="280"/>
      <c r="BF506" s="280"/>
      <c r="BG506" s="280"/>
      <c r="BH506" s="280"/>
      <c r="BI506" s="280"/>
      <c r="BJ506" s="280"/>
      <c r="BK506" s="280"/>
      <c r="BL506" s="280"/>
      <c r="BM506" s="280"/>
      <c r="BN506" s="280"/>
      <c r="BO506" s="280"/>
      <c r="BP506" s="280"/>
      <c r="BQ506" s="280"/>
      <c r="BR506" s="280"/>
      <c r="BS506" s="280"/>
      <c r="BT506" s="280"/>
      <c r="BU506" s="280"/>
      <c r="BV506" s="280"/>
    </row>
    <row r="507" spans="2:74" x14ac:dyDescent="0.2">
      <c r="B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c r="AH507" s="280"/>
      <c r="AI507" s="280"/>
      <c r="AJ507" s="280"/>
      <c r="AK507" s="280"/>
      <c r="AL507" s="280"/>
      <c r="AM507" s="280"/>
      <c r="AN507" s="280"/>
      <c r="AO507" s="280"/>
      <c r="AP507" s="280"/>
      <c r="AQ507" s="280"/>
      <c r="AR507" s="280"/>
      <c r="AS507" s="280"/>
      <c r="AT507" s="280"/>
      <c r="AU507" s="280"/>
      <c r="AV507" s="280"/>
      <c r="AW507" s="280"/>
      <c r="AX507" s="280"/>
      <c r="AY507" s="280"/>
      <c r="AZ507" s="280"/>
      <c r="BA507" s="280"/>
      <c r="BB507" s="280"/>
      <c r="BC507" s="280"/>
      <c r="BD507" s="280"/>
      <c r="BE507" s="280"/>
      <c r="BF507" s="280"/>
      <c r="BG507" s="280"/>
      <c r="BH507" s="280"/>
      <c r="BI507" s="280"/>
      <c r="BJ507" s="280"/>
      <c r="BK507" s="280"/>
      <c r="BL507" s="280"/>
      <c r="BM507" s="280"/>
      <c r="BN507" s="280"/>
      <c r="BO507" s="280"/>
      <c r="BP507" s="280"/>
      <c r="BQ507" s="280"/>
      <c r="BR507" s="280"/>
      <c r="BS507" s="280"/>
      <c r="BT507" s="280"/>
      <c r="BU507" s="280"/>
      <c r="BV507" s="280"/>
    </row>
    <row r="508" spans="2:74" x14ac:dyDescent="0.2">
      <c r="B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c r="AA508" s="280"/>
      <c r="AB508" s="280"/>
      <c r="AC508" s="280"/>
      <c r="AD508" s="280"/>
      <c r="AE508" s="280"/>
      <c r="AF508" s="280"/>
      <c r="AG508" s="280"/>
      <c r="AH508" s="280"/>
      <c r="AI508" s="280"/>
      <c r="AJ508" s="280"/>
      <c r="AK508" s="280"/>
      <c r="AL508" s="280"/>
      <c r="AM508" s="280"/>
      <c r="AN508" s="280"/>
      <c r="AO508" s="280"/>
      <c r="AP508" s="280"/>
      <c r="AQ508" s="280"/>
      <c r="AR508" s="280"/>
      <c r="AS508" s="280"/>
      <c r="AT508" s="280"/>
      <c r="AU508" s="280"/>
      <c r="AV508" s="280"/>
      <c r="AW508" s="280"/>
      <c r="AX508" s="280"/>
      <c r="AY508" s="280"/>
      <c r="AZ508" s="280"/>
      <c r="BA508" s="280"/>
      <c r="BB508" s="280"/>
      <c r="BC508" s="280"/>
      <c r="BD508" s="280"/>
      <c r="BE508" s="280"/>
      <c r="BF508" s="280"/>
      <c r="BG508" s="280"/>
      <c r="BH508" s="280"/>
      <c r="BI508" s="280"/>
      <c r="BJ508" s="280"/>
      <c r="BK508" s="280"/>
      <c r="BL508" s="280"/>
      <c r="BM508" s="280"/>
      <c r="BN508" s="280"/>
      <c r="BO508" s="280"/>
      <c r="BP508" s="280"/>
      <c r="BQ508" s="280"/>
      <c r="BR508" s="280"/>
      <c r="BS508" s="280"/>
      <c r="BT508" s="280"/>
      <c r="BU508" s="280"/>
      <c r="BV508" s="280"/>
    </row>
    <row r="509" spans="2:74" x14ac:dyDescent="0.2">
      <c r="B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80"/>
      <c r="AC509" s="280"/>
      <c r="AD509" s="280"/>
      <c r="AE509" s="280"/>
      <c r="AF509" s="280"/>
      <c r="AG509" s="280"/>
      <c r="AH509" s="280"/>
      <c r="AI509" s="280"/>
      <c r="AJ509" s="280"/>
      <c r="AK509" s="280"/>
      <c r="AL509" s="280"/>
      <c r="AM509" s="280"/>
      <c r="AN509" s="280"/>
      <c r="AO509" s="280"/>
      <c r="AP509" s="280"/>
      <c r="AQ509" s="280"/>
      <c r="AR509" s="280"/>
      <c r="AS509" s="280"/>
      <c r="AT509" s="280"/>
      <c r="AU509" s="280"/>
      <c r="AV509" s="280"/>
      <c r="AW509" s="280"/>
      <c r="AX509" s="280"/>
      <c r="AY509" s="280"/>
      <c r="AZ509" s="280"/>
      <c r="BA509" s="280"/>
      <c r="BB509" s="280"/>
      <c r="BC509" s="280"/>
      <c r="BD509" s="280"/>
      <c r="BE509" s="280"/>
      <c r="BF509" s="280"/>
      <c r="BG509" s="280"/>
      <c r="BH509" s="280"/>
      <c r="BI509" s="280"/>
      <c r="BJ509" s="280"/>
      <c r="BK509" s="280"/>
      <c r="BL509" s="280"/>
      <c r="BM509" s="280"/>
      <c r="BN509" s="280"/>
      <c r="BO509" s="280"/>
      <c r="BP509" s="280"/>
      <c r="BQ509" s="280"/>
      <c r="BR509" s="280"/>
      <c r="BS509" s="280"/>
      <c r="BT509" s="280"/>
      <c r="BU509" s="280"/>
      <c r="BV509" s="280"/>
    </row>
    <row r="510" spans="2:74" x14ac:dyDescent="0.2">
      <c r="B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c r="AA510" s="280"/>
      <c r="AB510" s="280"/>
      <c r="AC510" s="280"/>
      <c r="AD510" s="280"/>
      <c r="AE510" s="280"/>
      <c r="AF510" s="280"/>
      <c r="AG510" s="280"/>
      <c r="AH510" s="280"/>
      <c r="AI510" s="280"/>
      <c r="AJ510" s="280"/>
      <c r="AK510" s="280"/>
      <c r="AL510" s="280"/>
      <c r="AM510" s="280"/>
      <c r="AN510" s="280"/>
      <c r="AO510" s="280"/>
      <c r="AP510" s="280"/>
      <c r="AQ510" s="280"/>
      <c r="AR510" s="280"/>
      <c r="AS510" s="280"/>
      <c r="AT510" s="280"/>
      <c r="AU510" s="280"/>
      <c r="AV510" s="280"/>
      <c r="AW510" s="280"/>
      <c r="AX510" s="280"/>
      <c r="AY510" s="280"/>
      <c r="AZ510" s="280"/>
      <c r="BA510" s="280"/>
      <c r="BB510" s="280"/>
      <c r="BC510" s="280"/>
      <c r="BD510" s="280"/>
      <c r="BE510" s="280"/>
      <c r="BF510" s="280"/>
      <c r="BG510" s="280"/>
      <c r="BH510" s="280"/>
      <c r="BI510" s="280"/>
      <c r="BJ510" s="280"/>
      <c r="BK510" s="280"/>
      <c r="BL510" s="280"/>
      <c r="BM510" s="280"/>
      <c r="BN510" s="280"/>
      <c r="BO510" s="280"/>
      <c r="BP510" s="280"/>
      <c r="BQ510" s="280"/>
      <c r="BR510" s="280"/>
      <c r="BS510" s="280"/>
      <c r="BT510" s="280"/>
      <c r="BU510" s="280"/>
      <c r="BV510" s="280"/>
    </row>
    <row r="511" spans="2:74" x14ac:dyDescent="0.2">
      <c r="B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c r="AA511" s="280"/>
      <c r="AB511" s="280"/>
      <c r="AC511" s="280"/>
      <c r="AD511" s="280"/>
      <c r="AE511" s="280"/>
      <c r="AF511" s="280"/>
      <c r="AG511" s="280"/>
      <c r="AH511" s="280"/>
      <c r="AI511" s="280"/>
      <c r="AJ511" s="280"/>
      <c r="AK511" s="280"/>
      <c r="AL511" s="280"/>
      <c r="AM511" s="280"/>
      <c r="AN511" s="280"/>
      <c r="AO511" s="280"/>
      <c r="AP511" s="280"/>
      <c r="AQ511" s="280"/>
      <c r="AR511" s="280"/>
      <c r="AS511" s="280"/>
      <c r="AT511" s="280"/>
      <c r="AU511" s="280"/>
      <c r="AV511" s="280"/>
      <c r="AW511" s="280"/>
      <c r="AX511" s="280"/>
      <c r="AY511" s="280"/>
      <c r="AZ511" s="280"/>
      <c r="BA511" s="280"/>
      <c r="BB511" s="280"/>
      <c r="BC511" s="280"/>
      <c r="BD511" s="280"/>
      <c r="BE511" s="280"/>
      <c r="BF511" s="280"/>
      <c r="BG511" s="280"/>
      <c r="BH511" s="280"/>
      <c r="BI511" s="280"/>
      <c r="BJ511" s="280"/>
      <c r="BK511" s="280"/>
      <c r="BL511" s="280"/>
      <c r="BM511" s="280"/>
      <c r="BN511" s="280"/>
      <c r="BO511" s="280"/>
      <c r="BP511" s="280"/>
      <c r="BQ511" s="280"/>
      <c r="BR511" s="280"/>
      <c r="BS511" s="280"/>
      <c r="BT511" s="280"/>
      <c r="BU511" s="280"/>
      <c r="BV511" s="280"/>
    </row>
    <row r="512" spans="2:74" x14ac:dyDescent="0.2">
      <c r="B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0"/>
      <c r="AB512" s="280"/>
      <c r="AC512" s="280"/>
      <c r="AD512" s="280"/>
      <c r="AE512" s="280"/>
      <c r="AF512" s="280"/>
      <c r="AG512" s="280"/>
      <c r="AH512" s="280"/>
      <c r="AI512" s="280"/>
      <c r="AJ512" s="280"/>
      <c r="AK512" s="280"/>
      <c r="AL512" s="280"/>
      <c r="AM512" s="280"/>
      <c r="AN512" s="280"/>
      <c r="AO512" s="280"/>
      <c r="AP512" s="280"/>
      <c r="AQ512" s="280"/>
      <c r="AR512" s="280"/>
      <c r="AS512" s="280"/>
      <c r="AT512" s="280"/>
      <c r="AU512" s="280"/>
      <c r="AV512" s="280"/>
      <c r="AW512" s="280"/>
      <c r="AX512" s="280"/>
      <c r="AY512" s="280"/>
      <c r="AZ512" s="280"/>
      <c r="BA512" s="280"/>
      <c r="BB512" s="280"/>
      <c r="BC512" s="280"/>
      <c r="BD512" s="280"/>
      <c r="BE512" s="280"/>
      <c r="BF512" s="280"/>
      <c r="BG512" s="280"/>
      <c r="BH512" s="280"/>
      <c r="BI512" s="280"/>
      <c r="BJ512" s="280"/>
      <c r="BK512" s="280"/>
      <c r="BL512" s="280"/>
      <c r="BM512" s="280"/>
      <c r="BN512" s="280"/>
      <c r="BO512" s="280"/>
      <c r="BP512" s="280"/>
      <c r="BQ512" s="280"/>
      <c r="BR512" s="280"/>
      <c r="BS512" s="280"/>
      <c r="BT512" s="280"/>
      <c r="BU512" s="280"/>
      <c r="BV512" s="280"/>
    </row>
    <row r="513" spans="2:74" x14ac:dyDescent="0.2">
      <c r="B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0"/>
      <c r="AB513" s="280"/>
      <c r="AC513" s="280"/>
      <c r="AD513" s="280"/>
      <c r="AE513" s="280"/>
      <c r="AF513" s="280"/>
      <c r="AG513" s="280"/>
      <c r="AH513" s="280"/>
      <c r="AI513" s="280"/>
      <c r="AJ513" s="280"/>
      <c r="AK513" s="280"/>
      <c r="AL513" s="280"/>
      <c r="AM513" s="280"/>
      <c r="AN513" s="280"/>
      <c r="AO513" s="280"/>
      <c r="AP513" s="280"/>
      <c r="AQ513" s="280"/>
      <c r="AR513" s="280"/>
      <c r="AS513" s="280"/>
      <c r="AT513" s="280"/>
      <c r="AU513" s="280"/>
      <c r="AV513" s="280"/>
      <c r="AW513" s="280"/>
      <c r="AX513" s="280"/>
      <c r="AY513" s="280"/>
      <c r="AZ513" s="280"/>
      <c r="BA513" s="280"/>
      <c r="BB513" s="280"/>
      <c r="BC513" s="280"/>
      <c r="BD513" s="280"/>
      <c r="BE513" s="280"/>
      <c r="BF513" s="280"/>
      <c r="BG513" s="280"/>
      <c r="BH513" s="280"/>
      <c r="BI513" s="280"/>
      <c r="BJ513" s="280"/>
      <c r="BK513" s="280"/>
      <c r="BL513" s="280"/>
      <c r="BM513" s="280"/>
      <c r="BN513" s="280"/>
      <c r="BO513" s="280"/>
      <c r="BP513" s="280"/>
      <c r="BQ513" s="280"/>
      <c r="BR513" s="280"/>
      <c r="BS513" s="280"/>
      <c r="BT513" s="280"/>
      <c r="BU513" s="280"/>
      <c r="BV513" s="280"/>
    </row>
    <row r="514" spans="2:74" x14ac:dyDescent="0.2">
      <c r="B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0"/>
      <c r="AB514" s="280"/>
      <c r="AC514" s="280"/>
      <c r="AD514" s="280"/>
      <c r="AE514" s="280"/>
      <c r="AF514" s="280"/>
      <c r="AG514" s="280"/>
      <c r="AH514" s="280"/>
      <c r="AI514" s="280"/>
      <c r="AJ514" s="280"/>
      <c r="AK514" s="280"/>
      <c r="AL514" s="280"/>
      <c r="AM514" s="280"/>
      <c r="AN514" s="280"/>
      <c r="AO514" s="280"/>
      <c r="AP514" s="280"/>
      <c r="AQ514" s="280"/>
      <c r="AR514" s="280"/>
      <c r="AS514" s="280"/>
      <c r="AT514" s="280"/>
      <c r="AU514" s="280"/>
      <c r="AV514" s="280"/>
      <c r="AW514" s="280"/>
      <c r="AX514" s="280"/>
      <c r="AY514" s="280"/>
      <c r="AZ514" s="280"/>
      <c r="BA514" s="280"/>
      <c r="BB514" s="280"/>
      <c r="BC514" s="280"/>
      <c r="BD514" s="280"/>
      <c r="BE514" s="280"/>
      <c r="BF514" s="280"/>
      <c r="BG514" s="280"/>
      <c r="BH514" s="280"/>
      <c r="BI514" s="280"/>
      <c r="BJ514" s="280"/>
      <c r="BK514" s="280"/>
      <c r="BL514" s="280"/>
      <c r="BM514" s="280"/>
      <c r="BN514" s="280"/>
      <c r="BO514" s="280"/>
      <c r="BP514" s="280"/>
      <c r="BQ514" s="280"/>
      <c r="BR514" s="280"/>
      <c r="BS514" s="280"/>
      <c r="BT514" s="280"/>
      <c r="BU514" s="280"/>
      <c r="BV514" s="280"/>
    </row>
    <row r="515" spans="2:74" x14ac:dyDescent="0.2">
      <c r="B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0"/>
      <c r="AB515" s="280"/>
      <c r="AC515" s="280"/>
      <c r="AD515" s="280"/>
      <c r="AE515" s="280"/>
      <c r="AF515" s="280"/>
      <c r="AG515" s="280"/>
      <c r="AH515" s="280"/>
      <c r="AI515" s="280"/>
      <c r="AJ515" s="280"/>
      <c r="AK515" s="280"/>
      <c r="AL515" s="280"/>
      <c r="AM515" s="280"/>
      <c r="AN515" s="280"/>
      <c r="AO515" s="280"/>
      <c r="AP515" s="280"/>
      <c r="AQ515" s="280"/>
      <c r="AR515" s="280"/>
      <c r="AS515" s="280"/>
      <c r="AT515" s="280"/>
      <c r="AU515" s="280"/>
      <c r="AV515" s="280"/>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row>
    <row r="516" spans="2:74" x14ac:dyDescent="0.2">
      <c r="B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c r="AA516" s="280"/>
      <c r="AB516" s="280"/>
      <c r="AC516" s="280"/>
      <c r="AD516" s="280"/>
      <c r="AE516" s="280"/>
      <c r="AF516" s="280"/>
      <c r="AG516" s="280"/>
      <c r="AH516" s="280"/>
      <c r="AI516" s="280"/>
      <c r="AJ516" s="280"/>
      <c r="AK516" s="280"/>
      <c r="AL516" s="280"/>
      <c r="AM516" s="280"/>
      <c r="AN516" s="280"/>
      <c r="AO516" s="280"/>
      <c r="AP516" s="280"/>
      <c r="AQ516" s="280"/>
      <c r="AR516" s="280"/>
      <c r="AS516" s="280"/>
      <c r="AT516" s="280"/>
      <c r="AU516" s="280"/>
      <c r="AV516" s="280"/>
      <c r="AW516" s="280"/>
      <c r="AX516" s="280"/>
      <c r="AY516" s="280"/>
      <c r="AZ516" s="280"/>
      <c r="BA516" s="280"/>
      <c r="BB516" s="280"/>
      <c r="BC516" s="280"/>
      <c r="BD516" s="280"/>
      <c r="BE516" s="280"/>
      <c r="BF516" s="280"/>
      <c r="BG516" s="280"/>
      <c r="BH516" s="280"/>
      <c r="BI516" s="280"/>
      <c r="BJ516" s="280"/>
      <c r="BK516" s="280"/>
      <c r="BL516" s="280"/>
      <c r="BM516" s="280"/>
      <c r="BN516" s="280"/>
      <c r="BO516" s="280"/>
      <c r="BP516" s="280"/>
      <c r="BQ516" s="280"/>
      <c r="BR516" s="280"/>
      <c r="BS516" s="280"/>
      <c r="BT516" s="280"/>
      <c r="BU516" s="280"/>
      <c r="BV516" s="280"/>
    </row>
    <row r="517" spans="2:74" x14ac:dyDescent="0.2">
      <c r="B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c r="AA517" s="280"/>
      <c r="AB517" s="280"/>
      <c r="AC517" s="280"/>
      <c r="AD517" s="280"/>
      <c r="AE517" s="280"/>
      <c r="AF517" s="280"/>
      <c r="AG517" s="280"/>
      <c r="AH517" s="280"/>
      <c r="AI517" s="280"/>
      <c r="AJ517" s="280"/>
      <c r="AK517" s="280"/>
      <c r="AL517" s="280"/>
      <c r="AM517" s="280"/>
      <c r="AN517" s="280"/>
      <c r="AO517" s="280"/>
      <c r="AP517" s="280"/>
      <c r="AQ517" s="280"/>
      <c r="AR517" s="280"/>
      <c r="AS517" s="280"/>
      <c r="AT517" s="280"/>
      <c r="AU517" s="280"/>
      <c r="AV517" s="280"/>
      <c r="AW517" s="280"/>
      <c r="AX517" s="280"/>
      <c r="AY517" s="280"/>
      <c r="AZ517" s="280"/>
      <c r="BA517" s="280"/>
      <c r="BB517" s="280"/>
      <c r="BC517" s="280"/>
      <c r="BD517" s="280"/>
      <c r="BE517" s="280"/>
      <c r="BF517" s="280"/>
      <c r="BG517" s="280"/>
      <c r="BH517" s="280"/>
      <c r="BI517" s="280"/>
      <c r="BJ517" s="280"/>
      <c r="BK517" s="280"/>
      <c r="BL517" s="280"/>
      <c r="BM517" s="280"/>
      <c r="BN517" s="280"/>
      <c r="BO517" s="280"/>
      <c r="BP517" s="280"/>
      <c r="BQ517" s="280"/>
      <c r="BR517" s="280"/>
      <c r="BS517" s="280"/>
      <c r="BT517" s="280"/>
      <c r="BU517" s="280"/>
      <c r="BV517" s="280"/>
    </row>
    <row r="518" spans="2:74" x14ac:dyDescent="0.2">
      <c r="B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c r="AA518" s="280"/>
      <c r="AB518" s="280"/>
      <c r="AC518" s="280"/>
      <c r="AD518" s="280"/>
      <c r="AE518" s="280"/>
      <c r="AF518" s="280"/>
      <c r="AG518" s="280"/>
      <c r="AH518" s="280"/>
      <c r="AI518" s="280"/>
      <c r="AJ518" s="280"/>
      <c r="AK518" s="280"/>
      <c r="AL518" s="280"/>
      <c r="AM518" s="280"/>
      <c r="AN518" s="280"/>
      <c r="AO518" s="280"/>
      <c r="AP518" s="280"/>
      <c r="AQ518" s="280"/>
      <c r="AR518" s="280"/>
      <c r="AS518" s="280"/>
      <c r="AT518" s="280"/>
      <c r="AU518" s="280"/>
      <c r="AV518" s="280"/>
      <c r="AW518" s="280"/>
      <c r="AX518" s="280"/>
      <c r="AY518" s="280"/>
      <c r="AZ518" s="280"/>
      <c r="BA518" s="280"/>
      <c r="BB518" s="280"/>
      <c r="BC518" s="280"/>
      <c r="BD518" s="280"/>
      <c r="BE518" s="280"/>
      <c r="BF518" s="280"/>
      <c r="BG518" s="280"/>
      <c r="BH518" s="280"/>
      <c r="BI518" s="280"/>
      <c r="BJ518" s="280"/>
      <c r="BK518" s="280"/>
      <c r="BL518" s="280"/>
      <c r="BM518" s="280"/>
      <c r="BN518" s="280"/>
      <c r="BO518" s="280"/>
      <c r="BP518" s="280"/>
      <c r="BQ518" s="280"/>
      <c r="BR518" s="280"/>
      <c r="BS518" s="280"/>
      <c r="BT518" s="280"/>
      <c r="BU518" s="280"/>
      <c r="BV518" s="280"/>
    </row>
    <row r="519" spans="2:74" x14ac:dyDescent="0.2">
      <c r="B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c r="AA519" s="280"/>
      <c r="AB519" s="280"/>
      <c r="AC519" s="280"/>
      <c r="AD519" s="280"/>
      <c r="AE519" s="280"/>
      <c r="AF519" s="280"/>
      <c r="AG519" s="280"/>
      <c r="AH519" s="280"/>
      <c r="AI519" s="280"/>
      <c r="AJ519" s="280"/>
      <c r="AK519" s="280"/>
      <c r="AL519" s="280"/>
      <c r="AM519" s="280"/>
      <c r="AN519" s="280"/>
      <c r="AO519" s="280"/>
      <c r="AP519" s="280"/>
      <c r="AQ519" s="280"/>
      <c r="AR519" s="280"/>
      <c r="AS519" s="280"/>
      <c r="AT519" s="280"/>
      <c r="AU519" s="280"/>
      <c r="AV519" s="280"/>
      <c r="AW519" s="280"/>
      <c r="AX519" s="280"/>
      <c r="AY519" s="280"/>
      <c r="AZ519" s="280"/>
      <c r="BA519" s="280"/>
      <c r="BB519" s="280"/>
      <c r="BC519" s="280"/>
      <c r="BD519" s="280"/>
      <c r="BE519" s="280"/>
      <c r="BF519" s="280"/>
      <c r="BG519" s="280"/>
      <c r="BH519" s="280"/>
      <c r="BI519" s="280"/>
      <c r="BJ519" s="280"/>
      <c r="BK519" s="280"/>
      <c r="BL519" s="280"/>
      <c r="BM519" s="280"/>
      <c r="BN519" s="280"/>
      <c r="BO519" s="280"/>
      <c r="BP519" s="280"/>
      <c r="BQ519" s="280"/>
      <c r="BR519" s="280"/>
      <c r="BS519" s="280"/>
      <c r="BT519" s="280"/>
      <c r="BU519" s="280"/>
      <c r="BV519" s="280"/>
    </row>
    <row r="520" spans="2:74" x14ac:dyDescent="0.2">
      <c r="B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c r="AA520" s="280"/>
      <c r="AB520" s="280"/>
      <c r="AC520" s="280"/>
      <c r="AD520" s="280"/>
      <c r="AE520" s="280"/>
      <c r="AF520" s="280"/>
      <c r="AG520" s="280"/>
      <c r="AH520" s="280"/>
      <c r="AI520" s="280"/>
      <c r="AJ520" s="280"/>
      <c r="AK520" s="280"/>
      <c r="AL520" s="280"/>
      <c r="AM520" s="280"/>
      <c r="AN520" s="280"/>
      <c r="AO520" s="280"/>
      <c r="AP520" s="280"/>
      <c r="AQ520" s="280"/>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row>
    <row r="521" spans="2:74" x14ac:dyDescent="0.2">
      <c r="B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c r="AA521" s="280"/>
      <c r="AB521" s="280"/>
      <c r="AC521" s="280"/>
      <c r="AD521" s="280"/>
      <c r="AE521" s="280"/>
      <c r="AF521" s="280"/>
      <c r="AG521" s="280"/>
      <c r="AH521" s="280"/>
      <c r="AI521" s="280"/>
      <c r="AJ521" s="280"/>
      <c r="AK521" s="280"/>
      <c r="AL521" s="280"/>
      <c r="AM521" s="280"/>
      <c r="AN521" s="280"/>
      <c r="AO521" s="280"/>
      <c r="AP521" s="280"/>
      <c r="AQ521" s="280"/>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row>
    <row r="522" spans="2:74" x14ac:dyDescent="0.2">
      <c r="B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c r="AA522" s="280"/>
      <c r="AB522" s="280"/>
      <c r="AC522" s="280"/>
      <c r="AD522" s="280"/>
      <c r="AE522" s="280"/>
      <c r="AF522" s="280"/>
      <c r="AG522" s="280"/>
      <c r="AH522" s="280"/>
      <c r="AI522" s="280"/>
      <c r="AJ522" s="280"/>
      <c r="AK522" s="280"/>
      <c r="AL522" s="280"/>
      <c r="AM522" s="280"/>
      <c r="AN522" s="280"/>
      <c r="AO522" s="280"/>
      <c r="AP522" s="280"/>
      <c r="AQ522" s="280"/>
      <c r="AR522" s="280"/>
      <c r="AS522" s="280"/>
      <c r="AT522" s="280"/>
      <c r="AU522" s="280"/>
      <c r="AV522" s="280"/>
      <c r="AW522" s="280"/>
      <c r="AX522" s="280"/>
      <c r="AY522" s="280"/>
      <c r="AZ522" s="280"/>
      <c r="BA522" s="280"/>
      <c r="BB522" s="280"/>
      <c r="BC522" s="280"/>
      <c r="BD522" s="280"/>
      <c r="BE522" s="280"/>
      <c r="BF522" s="280"/>
      <c r="BG522" s="280"/>
      <c r="BH522" s="280"/>
      <c r="BI522" s="280"/>
      <c r="BJ522" s="280"/>
      <c r="BK522" s="280"/>
      <c r="BL522" s="280"/>
      <c r="BM522" s="280"/>
      <c r="BN522" s="280"/>
      <c r="BO522" s="280"/>
      <c r="BP522" s="280"/>
      <c r="BQ522" s="280"/>
      <c r="BR522" s="280"/>
      <c r="BS522" s="280"/>
      <c r="BT522" s="280"/>
      <c r="BU522" s="280"/>
      <c r="BV522" s="280"/>
    </row>
    <row r="523" spans="2:74" x14ac:dyDescent="0.2">
      <c r="B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c r="AA523" s="280"/>
      <c r="AB523" s="280"/>
      <c r="AC523" s="280"/>
      <c r="AD523" s="280"/>
      <c r="AE523" s="280"/>
      <c r="AF523" s="280"/>
      <c r="AG523" s="280"/>
      <c r="AH523" s="280"/>
      <c r="AI523" s="280"/>
      <c r="AJ523" s="280"/>
      <c r="AK523" s="280"/>
      <c r="AL523" s="280"/>
      <c r="AM523" s="280"/>
      <c r="AN523" s="280"/>
      <c r="AO523" s="280"/>
      <c r="AP523" s="280"/>
      <c r="AQ523" s="280"/>
      <c r="AR523" s="280"/>
      <c r="AS523" s="280"/>
      <c r="AT523" s="280"/>
      <c r="AU523" s="280"/>
      <c r="AV523" s="280"/>
      <c r="AW523" s="280"/>
      <c r="AX523" s="280"/>
      <c r="AY523" s="280"/>
      <c r="AZ523" s="280"/>
      <c r="BA523" s="280"/>
      <c r="BB523" s="280"/>
      <c r="BC523" s="280"/>
      <c r="BD523" s="280"/>
      <c r="BE523" s="280"/>
      <c r="BF523" s="280"/>
      <c r="BG523" s="280"/>
      <c r="BH523" s="280"/>
      <c r="BI523" s="280"/>
      <c r="BJ523" s="280"/>
      <c r="BK523" s="280"/>
      <c r="BL523" s="280"/>
      <c r="BM523" s="280"/>
      <c r="BN523" s="280"/>
      <c r="BO523" s="280"/>
      <c r="BP523" s="280"/>
      <c r="BQ523" s="280"/>
      <c r="BR523" s="280"/>
      <c r="BS523" s="280"/>
      <c r="BT523" s="280"/>
      <c r="BU523" s="280"/>
      <c r="BV523" s="280"/>
    </row>
    <row r="524" spans="2:74" x14ac:dyDescent="0.2">
      <c r="B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c r="AA524" s="280"/>
      <c r="AB524" s="280"/>
      <c r="AC524" s="280"/>
      <c r="AD524" s="280"/>
      <c r="AE524" s="280"/>
      <c r="AF524" s="280"/>
      <c r="AG524" s="280"/>
      <c r="AH524" s="280"/>
      <c r="AI524" s="280"/>
      <c r="AJ524" s="280"/>
      <c r="AK524" s="280"/>
      <c r="AL524" s="280"/>
      <c r="AM524" s="280"/>
      <c r="AN524" s="280"/>
      <c r="AO524" s="280"/>
      <c r="AP524" s="280"/>
      <c r="AQ524" s="280"/>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row>
    <row r="525" spans="2:74" x14ac:dyDescent="0.2">
      <c r="B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c r="AA525" s="280"/>
      <c r="AB525" s="280"/>
      <c r="AC525" s="280"/>
      <c r="AD525" s="280"/>
      <c r="AE525" s="280"/>
      <c r="AF525" s="280"/>
      <c r="AG525" s="280"/>
      <c r="AH525" s="280"/>
      <c r="AI525" s="280"/>
      <c r="AJ525" s="280"/>
      <c r="AK525" s="280"/>
      <c r="AL525" s="280"/>
      <c r="AM525" s="280"/>
      <c r="AN525" s="280"/>
      <c r="AO525" s="280"/>
      <c r="AP525" s="280"/>
      <c r="AQ525" s="280"/>
      <c r="AR525" s="280"/>
      <c r="AS525" s="280"/>
      <c r="AT525" s="280"/>
      <c r="AU525" s="280"/>
      <c r="AV525" s="280"/>
      <c r="AW525" s="280"/>
      <c r="AX525" s="280"/>
      <c r="AY525" s="280"/>
      <c r="AZ525" s="280"/>
      <c r="BA525" s="280"/>
      <c r="BB525" s="280"/>
      <c r="BC525" s="280"/>
      <c r="BD525" s="280"/>
      <c r="BE525" s="280"/>
      <c r="BF525" s="280"/>
      <c r="BG525" s="280"/>
      <c r="BH525" s="280"/>
      <c r="BI525" s="280"/>
      <c r="BJ525" s="280"/>
      <c r="BK525" s="280"/>
      <c r="BL525" s="280"/>
      <c r="BM525" s="280"/>
      <c r="BN525" s="280"/>
      <c r="BO525" s="280"/>
      <c r="BP525" s="280"/>
      <c r="BQ525" s="280"/>
      <c r="BR525" s="280"/>
      <c r="BS525" s="280"/>
      <c r="BT525" s="280"/>
      <c r="BU525" s="280"/>
      <c r="BV525" s="280"/>
    </row>
    <row r="526" spans="2:74" x14ac:dyDescent="0.2">
      <c r="B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c r="AA526" s="280"/>
      <c r="AB526" s="280"/>
      <c r="AC526" s="280"/>
      <c r="AD526" s="280"/>
      <c r="AE526" s="280"/>
      <c r="AF526" s="280"/>
      <c r="AG526" s="280"/>
      <c r="AH526" s="280"/>
      <c r="AI526" s="280"/>
      <c r="AJ526" s="280"/>
      <c r="AK526" s="280"/>
      <c r="AL526" s="280"/>
      <c r="AM526" s="280"/>
      <c r="AN526" s="280"/>
      <c r="AO526" s="280"/>
      <c r="AP526" s="280"/>
      <c r="AQ526" s="280"/>
      <c r="AR526" s="280"/>
      <c r="AS526" s="280"/>
      <c r="AT526" s="280"/>
      <c r="AU526" s="280"/>
      <c r="AV526" s="280"/>
      <c r="AW526" s="280"/>
      <c r="AX526" s="280"/>
      <c r="AY526" s="280"/>
      <c r="AZ526" s="280"/>
      <c r="BA526" s="280"/>
      <c r="BB526" s="280"/>
      <c r="BC526" s="280"/>
      <c r="BD526" s="280"/>
      <c r="BE526" s="280"/>
      <c r="BF526" s="280"/>
      <c r="BG526" s="280"/>
      <c r="BH526" s="280"/>
      <c r="BI526" s="280"/>
      <c r="BJ526" s="280"/>
      <c r="BK526" s="280"/>
      <c r="BL526" s="280"/>
      <c r="BM526" s="280"/>
      <c r="BN526" s="280"/>
      <c r="BO526" s="280"/>
      <c r="BP526" s="280"/>
      <c r="BQ526" s="280"/>
      <c r="BR526" s="280"/>
      <c r="BS526" s="280"/>
      <c r="BT526" s="280"/>
      <c r="BU526" s="280"/>
      <c r="BV526" s="280"/>
    </row>
    <row r="527" spans="2:74" x14ac:dyDescent="0.2">
      <c r="B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c r="AA527" s="280"/>
      <c r="AB527" s="280"/>
      <c r="AC527" s="280"/>
      <c r="AD527" s="280"/>
      <c r="AE527" s="280"/>
      <c r="AF527" s="280"/>
      <c r="AG527" s="280"/>
      <c r="AH527" s="280"/>
      <c r="AI527" s="280"/>
      <c r="AJ527" s="280"/>
      <c r="AK527" s="280"/>
      <c r="AL527" s="280"/>
      <c r="AM527" s="280"/>
      <c r="AN527" s="280"/>
      <c r="AO527" s="280"/>
      <c r="AP527" s="280"/>
      <c r="AQ527" s="280"/>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row>
    <row r="528" spans="2:74" x14ac:dyDescent="0.2">
      <c r="B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c r="AA528" s="280"/>
      <c r="AB528" s="280"/>
      <c r="AC528" s="280"/>
      <c r="AD528" s="280"/>
      <c r="AE528" s="280"/>
      <c r="AF528" s="280"/>
      <c r="AG528" s="280"/>
      <c r="AH528" s="280"/>
      <c r="AI528" s="280"/>
      <c r="AJ528" s="280"/>
      <c r="AK528" s="280"/>
      <c r="AL528" s="280"/>
      <c r="AM528" s="280"/>
      <c r="AN528" s="280"/>
      <c r="AO528" s="280"/>
      <c r="AP528" s="280"/>
      <c r="AQ528" s="280"/>
      <c r="AR528" s="280"/>
      <c r="AS528" s="280"/>
      <c r="AT528" s="280"/>
      <c r="AU528" s="280"/>
      <c r="AV528" s="280"/>
      <c r="AW528" s="280"/>
      <c r="AX528" s="280"/>
      <c r="AY528" s="280"/>
      <c r="AZ528" s="280"/>
      <c r="BA528" s="280"/>
      <c r="BB528" s="280"/>
      <c r="BC528" s="280"/>
      <c r="BD528" s="280"/>
      <c r="BE528" s="280"/>
      <c r="BF528" s="280"/>
      <c r="BG528" s="280"/>
      <c r="BH528" s="280"/>
      <c r="BI528" s="280"/>
      <c r="BJ528" s="280"/>
      <c r="BK528" s="280"/>
      <c r="BL528" s="280"/>
      <c r="BM528" s="280"/>
      <c r="BN528" s="280"/>
      <c r="BO528" s="280"/>
      <c r="BP528" s="280"/>
      <c r="BQ528" s="280"/>
      <c r="BR528" s="280"/>
      <c r="BS528" s="280"/>
      <c r="BT528" s="280"/>
      <c r="BU528" s="280"/>
      <c r="BV528" s="280"/>
    </row>
    <row r="529" spans="2:74" x14ac:dyDescent="0.2">
      <c r="B529" s="280"/>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c r="Z529" s="280"/>
      <c r="AA529" s="280"/>
      <c r="AB529" s="280"/>
      <c r="AC529" s="280"/>
      <c r="AD529" s="280"/>
      <c r="AE529" s="280"/>
      <c r="AF529" s="280"/>
      <c r="AG529" s="280"/>
      <c r="AH529" s="280"/>
      <c r="AI529" s="280"/>
      <c r="AJ529" s="280"/>
      <c r="AK529" s="280"/>
      <c r="AL529" s="280"/>
      <c r="AM529" s="280"/>
      <c r="AN529" s="280"/>
      <c r="AO529" s="280"/>
      <c r="AP529" s="280"/>
      <c r="AQ529" s="280"/>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row>
    <row r="530" spans="2:74" x14ac:dyDescent="0.2">
      <c r="B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c r="AA530" s="280"/>
      <c r="AB530" s="280"/>
      <c r="AC530" s="280"/>
      <c r="AD530" s="280"/>
      <c r="AE530" s="280"/>
      <c r="AF530" s="280"/>
      <c r="AG530" s="280"/>
      <c r="AH530" s="280"/>
      <c r="AI530" s="280"/>
      <c r="AJ530" s="280"/>
      <c r="AK530" s="280"/>
      <c r="AL530" s="280"/>
      <c r="AM530" s="280"/>
      <c r="AN530" s="280"/>
      <c r="AO530" s="280"/>
      <c r="AP530" s="280"/>
      <c r="AQ530" s="280"/>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row>
    <row r="531" spans="2:74" x14ac:dyDescent="0.2">
      <c r="B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c r="AA531" s="280"/>
      <c r="AB531" s="280"/>
      <c r="AC531" s="280"/>
      <c r="AD531" s="280"/>
      <c r="AE531" s="280"/>
      <c r="AF531" s="280"/>
      <c r="AG531" s="280"/>
      <c r="AH531" s="28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0"/>
      <c r="BI531" s="280"/>
      <c r="BJ531" s="280"/>
      <c r="BK531" s="280"/>
      <c r="BL531" s="280"/>
      <c r="BM531" s="280"/>
      <c r="BN531" s="280"/>
      <c r="BO531" s="280"/>
      <c r="BP531" s="280"/>
      <c r="BQ531" s="280"/>
      <c r="BR531" s="280"/>
      <c r="BS531" s="280"/>
      <c r="BT531" s="280"/>
      <c r="BU531" s="280"/>
      <c r="BV531" s="280"/>
    </row>
    <row r="532" spans="2:74" x14ac:dyDescent="0.2">
      <c r="B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c r="AA532" s="280"/>
      <c r="AB532" s="280"/>
      <c r="AC532" s="280"/>
      <c r="AD532" s="280"/>
      <c r="AE532" s="280"/>
      <c r="AF532" s="280"/>
      <c r="AG532" s="280"/>
      <c r="AH532" s="280"/>
      <c r="AI532" s="280"/>
      <c r="AJ532" s="280"/>
      <c r="AK532" s="280"/>
      <c r="AL532" s="280"/>
      <c r="AM532" s="280"/>
      <c r="AN532" s="280"/>
      <c r="AO532" s="280"/>
      <c r="AP532" s="280"/>
      <c r="AQ532" s="280"/>
      <c r="AR532" s="280"/>
      <c r="AS532" s="280"/>
      <c r="AT532" s="280"/>
      <c r="AU532" s="280"/>
      <c r="AV532" s="280"/>
      <c r="AW532" s="280"/>
      <c r="AX532" s="280"/>
      <c r="AY532" s="280"/>
      <c r="AZ532" s="280"/>
      <c r="BA532" s="280"/>
      <c r="BB532" s="280"/>
      <c r="BC532" s="280"/>
      <c r="BD532" s="280"/>
      <c r="BE532" s="280"/>
      <c r="BF532" s="280"/>
      <c r="BG532" s="280"/>
      <c r="BH532" s="280"/>
      <c r="BI532" s="280"/>
      <c r="BJ532" s="280"/>
      <c r="BK532" s="280"/>
      <c r="BL532" s="280"/>
      <c r="BM532" s="280"/>
      <c r="BN532" s="280"/>
      <c r="BO532" s="280"/>
      <c r="BP532" s="280"/>
      <c r="BQ532" s="280"/>
      <c r="BR532" s="280"/>
      <c r="BS532" s="280"/>
      <c r="BT532" s="280"/>
      <c r="BU532" s="280"/>
      <c r="BV532" s="280"/>
    </row>
    <row r="533" spans="2:74" x14ac:dyDescent="0.2">
      <c r="B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c r="AA533" s="280"/>
      <c r="AB533" s="280"/>
      <c r="AC533" s="280"/>
      <c r="AD533" s="280"/>
      <c r="AE533" s="280"/>
      <c r="AF533" s="280"/>
      <c r="AG533" s="280"/>
      <c r="AH533" s="280"/>
      <c r="AI533" s="280"/>
      <c r="AJ533" s="280"/>
      <c r="AK533" s="280"/>
      <c r="AL533" s="280"/>
      <c r="AM533" s="280"/>
      <c r="AN533" s="280"/>
      <c r="AO533" s="280"/>
      <c r="AP533" s="280"/>
      <c r="AQ533" s="280"/>
      <c r="AR533" s="280"/>
      <c r="AS533" s="280"/>
      <c r="AT533" s="280"/>
      <c r="AU533" s="280"/>
      <c r="AV533" s="280"/>
      <c r="AW533" s="280"/>
      <c r="AX533" s="280"/>
      <c r="AY533" s="280"/>
      <c r="AZ533" s="280"/>
      <c r="BA533" s="280"/>
      <c r="BB533" s="280"/>
      <c r="BC533" s="280"/>
      <c r="BD533" s="280"/>
      <c r="BE533" s="280"/>
      <c r="BF533" s="280"/>
      <c r="BG533" s="280"/>
      <c r="BH533" s="280"/>
      <c r="BI533" s="280"/>
      <c r="BJ533" s="280"/>
      <c r="BK533" s="280"/>
      <c r="BL533" s="280"/>
      <c r="BM533" s="280"/>
      <c r="BN533" s="280"/>
      <c r="BO533" s="280"/>
      <c r="BP533" s="280"/>
      <c r="BQ533" s="280"/>
      <c r="BR533" s="280"/>
      <c r="BS533" s="280"/>
      <c r="BT533" s="280"/>
      <c r="BU533" s="280"/>
      <c r="BV533" s="280"/>
    </row>
    <row r="534" spans="2:74" x14ac:dyDescent="0.2">
      <c r="B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c r="AA534" s="280"/>
      <c r="AB534" s="280"/>
      <c r="AC534" s="280"/>
      <c r="AD534" s="280"/>
      <c r="AE534" s="280"/>
      <c r="AF534" s="280"/>
      <c r="AG534" s="280"/>
      <c r="AH534" s="280"/>
      <c r="AI534" s="280"/>
      <c r="AJ534" s="280"/>
      <c r="AK534" s="280"/>
      <c r="AL534" s="280"/>
      <c r="AM534" s="280"/>
      <c r="AN534" s="280"/>
      <c r="AO534" s="280"/>
      <c r="AP534" s="280"/>
      <c r="AQ534" s="280"/>
      <c r="AR534" s="280"/>
      <c r="AS534" s="280"/>
      <c r="AT534" s="280"/>
      <c r="AU534" s="280"/>
      <c r="AV534" s="280"/>
      <c r="AW534" s="280"/>
      <c r="AX534" s="280"/>
      <c r="AY534" s="280"/>
      <c r="AZ534" s="280"/>
      <c r="BA534" s="280"/>
      <c r="BB534" s="280"/>
      <c r="BC534" s="280"/>
      <c r="BD534" s="280"/>
      <c r="BE534" s="280"/>
      <c r="BF534" s="280"/>
      <c r="BG534" s="280"/>
      <c r="BH534" s="280"/>
      <c r="BI534" s="280"/>
      <c r="BJ534" s="280"/>
      <c r="BK534" s="280"/>
      <c r="BL534" s="280"/>
      <c r="BM534" s="280"/>
      <c r="BN534" s="280"/>
      <c r="BO534" s="280"/>
      <c r="BP534" s="280"/>
      <c r="BQ534" s="280"/>
      <c r="BR534" s="280"/>
      <c r="BS534" s="280"/>
      <c r="BT534" s="280"/>
      <c r="BU534" s="280"/>
      <c r="BV534" s="280"/>
    </row>
    <row r="535" spans="2:74" x14ac:dyDescent="0.2">
      <c r="B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c r="AA535" s="280"/>
      <c r="AB535" s="280"/>
      <c r="AC535" s="280"/>
      <c r="AD535" s="280"/>
      <c r="AE535" s="280"/>
      <c r="AF535" s="280"/>
      <c r="AG535" s="280"/>
      <c r="AH535" s="280"/>
      <c r="AI535" s="280"/>
      <c r="AJ535" s="280"/>
      <c r="AK535" s="280"/>
      <c r="AL535" s="280"/>
      <c r="AM535" s="280"/>
      <c r="AN535" s="280"/>
      <c r="AO535" s="280"/>
      <c r="AP535" s="280"/>
      <c r="AQ535" s="280"/>
      <c r="AR535" s="280"/>
      <c r="AS535" s="280"/>
      <c r="AT535" s="280"/>
      <c r="AU535" s="280"/>
      <c r="AV535" s="280"/>
      <c r="AW535" s="280"/>
      <c r="AX535" s="280"/>
      <c r="AY535" s="280"/>
      <c r="AZ535" s="280"/>
      <c r="BA535" s="280"/>
      <c r="BB535" s="280"/>
      <c r="BC535" s="280"/>
      <c r="BD535" s="280"/>
      <c r="BE535" s="280"/>
      <c r="BF535" s="280"/>
      <c r="BG535" s="280"/>
      <c r="BH535" s="280"/>
      <c r="BI535" s="280"/>
      <c r="BJ535" s="280"/>
      <c r="BK535" s="280"/>
      <c r="BL535" s="280"/>
      <c r="BM535" s="280"/>
      <c r="BN535" s="280"/>
      <c r="BO535" s="280"/>
      <c r="BP535" s="280"/>
      <c r="BQ535" s="280"/>
      <c r="BR535" s="280"/>
      <c r="BS535" s="280"/>
      <c r="BT535" s="280"/>
      <c r="BU535" s="280"/>
      <c r="BV535" s="280"/>
    </row>
    <row r="536" spans="2:74" x14ac:dyDescent="0.2">
      <c r="B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c r="AA536" s="280"/>
      <c r="AB536" s="280"/>
      <c r="AC536" s="280"/>
      <c r="AD536" s="280"/>
      <c r="AE536" s="280"/>
      <c r="AF536" s="280"/>
      <c r="AG536" s="280"/>
      <c r="AH536" s="280"/>
      <c r="AI536" s="280"/>
      <c r="AJ536" s="280"/>
      <c r="AK536" s="280"/>
      <c r="AL536" s="280"/>
      <c r="AM536" s="280"/>
      <c r="AN536" s="280"/>
      <c r="AO536" s="280"/>
      <c r="AP536" s="280"/>
      <c r="AQ536" s="280"/>
      <c r="AR536" s="280"/>
      <c r="AS536" s="280"/>
      <c r="AT536" s="280"/>
      <c r="AU536" s="280"/>
      <c r="AV536" s="280"/>
      <c r="AW536" s="280"/>
      <c r="AX536" s="280"/>
      <c r="AY536" s="280"/>
      <c r="AZ536" s="280"/>
      <c r="BA536" s="280"/>
      <c r="BB536" s="280"/>
      <c r="BC536" s="280"/>
      <c r="BD536" s="280"/>
      <c r="BE536" s="280"/>
      <c r="BF536" s="280"/>
      <c r="BG536" s="280"/>
      <c r="BH536" s="280"/>
      <c r="BI536" s="280"/>
      <c r="BJ536" s="280"/>
      <c r="BK536" s="280"/>
      <c r="BL536" s="280"/>
      <c r="BM536" s="280"/>
      <c r="BN536" s="280"/>
      <c r="BO536" s="280"/>
      <c r="BP536" s="280"/>
      <c r="BQ536" s="280"/>
      <c r="BR536" s="280"/>
      <c r="BS536" s="280"/>
      <c r="BT536" s="280"/>
      <c r="BU536" s="280"/>
      <c r="BV536" s="280"/>
    </row>
    <row r="537" spans="2:74" x14ac:dyDescent="0.2">
      <c r="B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c r="AA537" s="280"/>
      <c r="AB537" s="280"/>
      <c r="AC537" s="280"/>
      <c r="AD537" s="280"/>
      <c r="AE537" s="280"/>
      <c r="AF537" s="280"/>
      <c r="AG537" s="280"/>
      <c r="AH537" s="280"/>
      <c r="AI537" s="280"/>
      <c r="AJ537" s="280"/>
      <c r="AK537" s="280"/>
      <c r="AL537" s="280"/>
      <c r="AM537" s="280"/>
      <c r="AN537" s="280"/>
      <c r="AO537" s="280"/>
      <c r="AP537" s="280"/>
      <c r="AQ537" s="280"/>
      <c r="AR537" s="280"/>
      <c r="AS537" s="280"/>
      <c r="AT537" s="280"/>
      <c r="AU537" s="280"/>
      <c r="AV537" s="280"/>
      <c r="AW537" s="280"/>
      <c r="AX537" s="280"/>
      <c r="AY537" s="280"/>
      <c r="AZ537" s="280"/>
      <c r="BA537" s="280"/>
      <c r="BB537" s="280"/>
      <c r="BC537" s="280"/>
      <c r="BD537" s="280"/>
      <c r="BE537" s="280"/>
      <c r="BF537" s="280"/>
      <c r="BG537" s="280"/>
      <c r="BH537" s="280"/>
      <c r="BI537" s="280"/>
      <c r="BJ537" s="280"/>
      <c r="BK537" s="280"/>
      <c r="BL537" s="280"/>
      <c r="BM537" s="280"/>
      <c r="BN537" s="280"/>
      <c r="BO537" s="280"/>
      <c r="BP537" s="280"/>
      <c r="BQ537" s="280"/>
      <c r="BR537" s="280"/>
      <c r="BS537" s="280"/>
      <c r="BT537" s="280"/>
      <c r="BU537" s="280"/>
      <c r="BV537" s="280"/>
    </row>
    <row r="538" spans="2:74" x14ac:dyDescent="0.2">
      <c r="B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0"/>
      <c r="AY538" s="280"/>
      <c r="AZ538" s="280"/>
      <c r="BA538" s="280"/>
      <c r="BB538" s="280"/>
      <c r="BC538" s="280"/>
      <c r="BD538" s="280"/>
      <c r="BE538" s="280"/>
      <c r="BF538" s="280"/>
      <c r="BG538" s="280"/>
      <c r="BH538" s="280"/>
      <c r="BI538" s="280"/>
      <c r="BJ538" s="280"/>
      <c r="BK538" s="280"/>
      <c r="BL538" s="280"/>
      <c r="BM538" s="280"/>
      <c r="BN538" s="280"/>
      <c r="BO538" s="280"/>
      <c r="BP538" s="280"/>
      <c r="BQ538" s="280"/>
      <c r="BR538" s="280"/>
      <c r="BS538" s="280"/>
      <c r="BT538" s="280"/>
      <c r="BU538" s="280"/>
      <c r="BV538" s="280"/>
    </row>
    <row r="539" spans="2:74" x14ac:dyDescent="0.2">
      <c r="B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c r="AA539" s="280"/>
      <c r="AB539" s="280"/>
      <c r="AC539" s="280"/>
      <c r="AD539" s="280"/>
      <c r="AE539" s="280"/>
      <c r="AF539" s="280"/>
      <c r="AG539" s="280"/>
      <c r="AH539" s="280"/>
      <c r="AI539" s="280"/>
      <c r="AJ539" s="280"/>
      <c r="AK539" s="280"/>
      <c r="AL539" s="280"/>
      <c r="AM539" s="280"/>
      <c r="AN539" s="280"/>
      <c r="AO539" s="280"/>
      <c r="AP539" s="280"/>
      <c r="AQ539" s="280"/>
      <c r="AR539" s="280"/>
      <c r="AS539" s="280"/>
      <c r="AT539" s="280"/>
      <c r="AU539" s="280"/>
      <c r="AV539" s="280"/>
      <c r="AW539" s="280"/>
      <c r="AX539" s="280"/>
      <c r="AY539" s="280"/>
      <c r="AZ539" s="280"/>
      <c r="BA539" s="280"/>
      <c r="BB539" s="280"/>
      <c r="BC539" s="280"/>
      <c r="BD539" s="280"/>
      <c r="BE539" s="280"/>
      <c r="BF539" s="280"/>
      <c r="BG539" s="280"/>
      <c r="BH539" s="280"/>
      <c r="BI539" s="280"/>
      <c r="BJ539" s="280"/>
      <c r="BK539" s="280"/>
      <c r="BL539" s="280"/>
      <c r="BM539" s="280"/>
      <c r="BN539" s="280"/>
      <c r="BO539" s="280"/>
      <c r="BP539" s="280"/>
      <c r="BQ539" s="280"/>
      <c r="BR539" s="280"/>
      <c r="BS539" s="280"/>
      <c r="BT539" s="280"/>
      <c r="BU539" s="280"/>
      <c r="BV539" s="280"/>
    </row>
    <row r="540" spans="2:74" x14ac:dyDescent="0.2">
      <c r="B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c r="AA540" s="280"/>
      <c r="AB540" s="280"/>
      <c r="AC540" s="280"/>
      <c r="AD540" s="280"/>
      <c r="AE540" s="280"/>
      <c r="AF540" s="280"/>
      <c r="AG540" s="280"/>
      <c r="AH540" s="280"/>
      <c r="AI540" s="280"/>
      <c r="AJ540" s="280"/>
      <c r="AK540" s="280"/>
      <c r="AL540" s="280"/>
      <c r="AM540" s="280"/>
      <c r="AN540" s="280"/>
      <c r="AO540" s="280"/>
      <c r="AP540" s="280"/>
      <c r="AQ540" s="280"/>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row>
    <row r="541" spans="2:74" x14ac:dyDescent="0.2">
      <c r="B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c r="AA541" s="280"/>
      <c r="AB541" s="280"/>
      <c r="AC541" s="280"/>
      <c r="AD541" s="280"/>
      <c r="AE541" s="280"/>
      <c r="AF541" s="280"/>
      <c r="AG541" s="280"/>
      <c r="AH541" s="280"/>
      <c r="AI541" s="280"/>
      <c r="AJ541" s="280"/>
      <c r="AK541" s="280"/>
      <c r="AL541" s="280"/>
      <c r="AM541" s="280"/>
      <c r="AN541" s="280"/>
      <c r="AO541" s="280"/>
      <c r="AP541" s="280"/>
      <c r="AQ541" s="280"/>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row>
    <row r="542" spans="2:74" x14ac:dyDescent="0.2">
      <c r="B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c r="AA542" s="280"/>
      <c r="AB542" s="280"/>
      <c r="AC542" s="280"/>
      <c r="AD542" s="280"/>
      <c r="AE542" s="280"/>
      <c r="AF542" s="280"/>
      <c r="AG542" s="280"/>
      <c r="AH542" s="280"/>
      <c r="AI542" s="280"/>
      <c r="AJ542" s="280"/>
      <c r="AK542" s="280"/>
      <c r="AL542" s="280"/>
      <c r="AM542" s="280"/>
      <c r="AN542" s="280"/>
      <c r="AO542" s="280"/>
      <c r="AP542" s="280"/>
      <c r="AQ542" s="280"/>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row>
    <row r="543" spans="2:74" x14ac:dyDescent="0.2">
      <c r="B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c r="AA543" s="280"/>
      <c r="AB543" s="280"/>
      <c r="AC543" s="280"/>
      <c r="AD543" s="280"/>
      <c r="AE543" s="280"/>
      <c r="AF543" s="280"/>
      <c r="AG543" s="280"/>
      <c r="AH543" s="280"/>
      <c r="AI543" s="280"/>
      <c r="AJ543" s="280"/>
      <c r="AK543" s="280"/>
      <c r="AL543" s="280"/>
      <c r="AM543" s="280"/>
      <c r="AN543" s="280"/>
      <c r="AO543" s="280"/>
      <c r="AP543" s="280"/>
      <c r="AQ543" s="280"/>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row>
    <row r="544" spans="2:74" x14ac:dyDescent="0.2">
      <c r="B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c r="AA544" s="280"/>
      <c r="AB544" s="280"/>
      <c r="AC544" s="280"/>
      <c r="AD544" s="280"/>
      <c r="AE544" s="280"/>
      <c r="AF544" s="280"/>
      <c r="AG544" s="280"/>
      <c r="AH544" s="280"/>
      <c r="AI544" s="280"/>
      <c r="AJ544" s="280"/>
      <c r="AK544" s="280"/>
      <c r="AL544" s="280"/>
      <c r="AM544" s="280"/>
      <c r="AN544" s="280"/>
      <c r="AO544" s="280"/>
      <c r="AP544" s="280"/>
      <c r="AQ544" s="280"/>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row>
    <row r="545" spans="2:74" x14ac:dyDescent="0.2">
      <c r="B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c r="AA545" s="280"/>
      <c r="AB545" s="280"/>
      <c r="AC545" s="280"/>
      <c r="AD545" s="280"/>
      <c r="AE545" s="280"/>
      <c r="AF545" s="280"/>
      <c r="AG545" s="280"/>
      <c r="AH545" s="280"/>
      <c r="AI545" s="280"/>
      <c r="AJ545" s="280"/>
      <c r="AK545" s="280"/>
      <c r="AL545" s="280"/>
      <c r="AM545" s="280"/>
      <c r="AN545" s="280"/>
      <c r="AO545" s="280"/>
      <c r="AP545" s="280"/>
      <c r="AQ545" s="280"/>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row>
    <row r="546" spans="2:74" x14ac:dyDescent="0.2">
      <c r="B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c r="AH546" s="280"/>
      <c r="AI546" s="280"/>
      <c r="AJ546" s="280"/>
      <c r="AK546" s="280"/>
      <c r="AL546" s="280"/>
      <c r="AM546" s="280"/>
      <c r="AN546" s="280"/>
      <c r="AO546" s="280"/>
      <c r="AP546" s="280"/>
      <c r="AQ546" s="280"/>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c r="BO546" s="280"/>
      <c r="BP546" s="280"/>
      <c r="BQ546" s="280"/>
      <c r="BR546" s="280"/>
      <c r="BS546" s="280"/>
      <c r="BT546" s="280"/>
      <c r="BU546" s="280"/>
      <c r="BV546" s="280"/>
    </row>
    <row r="547" spans="2:74" x14ac:dyDescent="0.2">
      <c r="B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c r="AA547" s="280"/>
      <c r="AB547" s="280"/>
      <c r="AC547" s="280"/>
      <c r="AD547" s="280"/>
      <c r="AE547" s="280"/>
      <c r="AF547" s="280"/>
      <c r="AG547" s="280"/>
      <c r="AH547" s="280"/>
      <c r="AI547" s="280"/>
      <c r="AJ547" s="280"/>
      <c r="AK547" s="280"/>
      <c r="AL547" s="280"/>
      <c r="AM547" s="280"/>
      <c r="AN547" s="280"/>
      <c r="AO547" s="280"/>
      <c r="AP547" s="280"/>
      <c r="AQ547" s="280"/>
      <c r="AR547" s="280"/>
      <c r="AS547" s="280"/>
      <c r="AT547" s="280"/>
      <c r="AU547" s="280"/>
      <c r="AV547" s="280"/>
      <c r="AW547" s="280"/>
      <c r="AX547" s="280"/>
      <c r="AY547" s="280"/>
      <c r="AZ547" s="280"/>
      <c r="BA547" s="280"/>
      <c r="BB547" s="280"/>
      <c r="BC547" s="280"/>
      <c r="BD547" s="280"/>
      <c r="BE547" s="280"/>
      <c r="BF547" s="280"/>
      <c r="BG547" s="280"/>
      <c r="BH547" s="280"/>
      <c r="BI547" s="280"/>
      <c r="BJ547" s="280"/>
      <c r="BK547" s="280"/>
      <c r="BL547" s="280"/>
      <c r="BM547" s="280"/>
      <c r="BN547" s="280"/>
      <c r="BO547" s="280"/>
      <c r="BP547" s="280"/>
      <c r="BQ547" s="280"/>
      <c r="BR547" s="280"/>
      <c r="BS547" s="280"/>
      <c r="BT547" s="280"/>
      <c r="BU547" s="280"/>
      <c r="BV547" s="280"/>
    </row>
    <row r="548" spans="2:74" x14ac:dyDescent="0.2">
      <c r="B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c r="AA548" s="280"/>
      <c r="AB548" s="280"/>
      <c r="AC548" s="280"/>
      <c r="AD548" s="280"/>
      <c r="AE548" s="280"/>
      <c r="AF548" s="280"/>
      <c r="AG548" s="280"/>
      <c r="AH548" s="280"/>
      <c r="AI548" s="280"/>
      <c r="AJ548" s="280"/>
      <c r="AK548" s="280"/>
      <c r="AL548" s="280"/>
      <c r="AM548" s="280"/>
      <c r="AN548" s="280"/>
      <c r="AO548" s="280"/>
      <c r="AP548" s="280"/>
      <c r="AQ548" s="280"/>
      <c r="AR548" s="280"/>
      <c r="AS548" s="280"/>
      <c r="AT548" s="280"/>
      <c r="AU548" s="280"/>
      <c r="AV548" s="280"/>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row>
    <row r="549" spans="2:74" x14ac:dyDescent="0.2">
      <c r="B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c r="AA549" s="280"/>
      <c r="AB549" s="280"/>
      <c r="AC549" s="280"/>
      <c r="AD549" s="280"/>
      <c r="AE549" s="280"/>
      <c r="AF549" s="280"/>
      <c r="AG549" s="280"/>
      <c r="AH549" s="280"/>
      <c r="AI549" s="280"/>
      <c r="AJ549" s="280"/>
      <c r="AK549" s="280"/>
      <c r="AL549" s="280"/>
      <c r="AM549" s="280"/>
      <c r="AN549" s="280"/>
      <c r="AO549" s="280"/>
      <c r="AP549" s="280"/>
      <c r="AQ549" s="280"/>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row>
    <row r="550" spans="2:74" x14ac:dyDescent="0.2">
      <c r="B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c r="AA550" s="280"/>
      <c r="AB550" s="280"/>
      <c r="AC550" s="280"/>
      <c r="AD550" s="280"/>
      <c r="AE550" s="280"/>
      <c r="AF550" s="280"/>
      <c r="AG550" s="280"/>
      <c r="AH550" s="280"/>
      <c r="AI550" s="280"/>
      <c r="AJ550" s="280"/>
      <c r="AK550" s="280"/>
      <c r="AL550" s="280"/>
      <c r="AM550" s="280"/>
      <c r="AN550" s="280"/>
      <c r="AO550" s="280"/>
      <c r="AP550" s="280"/>
      <c r="AQ550" s="280"/>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row>
    <row r="551" spans="2:74" x14ac:dyDescent="0.2">
      <c r="B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c r="AA551" s="280"/>
      <c r="AB551" s="280"/>
      <c r="AC551" s="280"/>
      <c r="AD551" s="280"/>
      <c r="AE551" s="280"/>
      <c r="AF551" s="280"/>
      <c r="AG551" s="280"/>
      <c r="AH551" s="280"/>
      <c r="AI551" s="280"/>
      <c r="AJ551" s="280"/>
      <c r="AK551" s="280"/>
      <c r="AL551" s="280"/>
      <c r="AM551" s="280"/>
      <c r="AN551" s="280"/>
      <c r="AO551" s="280"/>
      <c r="AP551" s="280"/>
      <c r="AQ551" s="280"/>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row>
    <row r="552" spans="2:74" x14ac:dyDescent="0.2">
      <c r="B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80"/>
      <c r="AC552" s="280"/>
      <c r="AD552" s="280"/>
      <c r="AE552" s="280"/>
      <c r="AF552" s="280"/>
      <c r="AG552" s="280"/>
      <c r="AH552" s="280"/>
      <c r="AI552" s="280"/>
      <c r="AJ552" s="280"/>
      <c r="AK552" s="280"/>
      <c r="AL552" s="280"/>
      <c r="AM552" s="280"/>
      <c r="AN552" s="280"/>
      <c r="AO552" s="280"/>
      <c r="AP552" s="280"/>
      <c r="AQ552" s="280"/>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row>
    <row r="553" spans="2:74" x14ac:dyDescent="0.2">
      <c r="B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c r="AA553" s="280"/>
      <c r="AB553" s="280"/>
      <c r="AC553" s="280"/>
      <c r="AD553" s="280"/>
      <c r="AE553" s="280"/>
      <c r="AF553" s="280"/>
      <c r="AG553" s="280"/>
      <c r="AH553" s="280"/>
      <c r="AI553" s="280"/>
      <c r="AJ553" s="280"/>
      <c r="AK553" s="280"/>
      <c r="AL553" s="280"/>
      <c r="AM553" s="280"/>
      <c r="AN553" s="280"/>
      <c r="AO553" s="280"/>
      <c r="AP553" s="280"/>
      <c r="AQ553" s="280"/>
      <c r="AR553" s="280"/>
      <c r="AS553" s="280"/>
      <c r="AT553" s="280"/>
      <c r="AU553" s="280"/>
      <c r="AV553" s="280"/>
      <c r="AW553" s="280"/>
      <c r="AX553" s="280"/>
      <c r="AY553" s="280"/>
      <c r="AZ553" s="280"/>
      <c r="BA553" s="280"/>
      <c r="BB553" s="280"/>
      <c r="BC553" s="280"/>
      <c r="BD553" s="280"/>
      <c r="BE553" s="280"/>
      <c r="BF553" s="280"/>
      <c r="BG553" s="280"/>
      <c r="BH553" s="280"/>
      <c r="BI553" s="280"/>
      <c r="BJ553" s="280"/>
      <c r="BK553" s="280"/>
      <c r="BL553" s="280"/>
      <c r="BM553" s="280"/>
      <c r="BN553" s="280"/>
      <c r="BO553" s="280"/>
      <c r="BP553" s="280"/>
      <c r="BQ553" s="280"/>
      <c r="BR553" s="280"/>
      <c r="BS553" s="280"/>
      <c r="BT553" s="280"/>
      <c r="BU553" s="280"/>
      <c r="BV553" s="280"/>
    </row>
    <row r="554" spans="2:74" x14ac:dyDescent="0.2">
      <c r="B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80"/>
      <c r="AC554" s="280"/>
      <c r="AD554" s="280"/>
      <c r="AE554" s="280"/>
      <c r="AF554" s="280"/>
      <c r="AG554" s="280"/>
      <c r="AH554" s="280"/>
      <c r="AI554" s="280"/>
      <c r="AJ554" s="280"/>
      <c r="AK554" s="280"/>
      <c r="AL554" s="280"/>
      <c r="AM554" s="280"/>
      <c r="AN554" s="280"/>
      <c r="AO554" s="280"/>
      <c r="AP554" s="280"/>
      <c r="AQ554" s="280"/>
      <c r="AR554" s="280"/>
      <c r="AS554" s="280"/>
      <c r="AT554" s="280"/>
      <c r="AU554" s="280"/>
      <c r="AV554" s="280"/>
      <c r="AW554" s="280"/>
      <c r="AX554" s="280"/>
      <c r="AY554" s="280"/>
      <c r="AZ554" s="280"/>
      <c r="BA554" s="280"/>
      <c r="BB554" s="280"/>
      <c r="BC554" s="280"/>
      <c r="BD554" s="280"/>
      <c r="BE554" s="280"/>
      <c r="BF554" s="280"/>
      <c r="BG554" s="280"/>
      <c r="BH554" s="280"/>
      <c r="BI554" s="280"/>
      <c r="BJ554" s="280"/>
      <c r="BK554" s="280"/>
      <c r="BL554" s="280"/>
      <c r="BM554" s="280"/>
      <c r="BN554" s="280"/>
      <c r="BO554" s="280"/>
      <c r="BP554" s="280"/>
      <c r="BQ554" s="280"/>
      <c r="BR554" s="280"/>
      <c r="BS554" s="280"/>
      <c r="BT554" s="280"/>
      <c r="BU554" s="280"/>
      <c r="BV554" s="280"/>
    </row>
    <row r="555" spans="2:74" x14ac:dyDescent="0.2">
      <c r="B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c r="AA555" s="280"/>
      <c r="AB555" s="280"/>
      <c r="AC555" s="280"/>
      <c r="AD555" s="280"/>
      <c r="AE555" s="280"/>
      <c r="AF555" s="280"/>
      <c r="AG555" s="280"/>
      <c r="AH555" s="280"/>
      <c r="AI555" s="280"/>
      <c r="AJ555" s="280"/>
      <c r="AK555" s="280"/>
      <c r="AL555" s="280"/>
      <c r="AM555" s="280"/>
      <c r="AN555" s="280"/>
      <c r="AO555" s="280"/>
      <c r="AP555" s="280"/>
      <c r="AQ555" s="280"/>
      <c r="AR555" s="280"/>
      <c r="AS555" s="280"/>
      <c r="AT555" s="280"/>
      <c r="AU555" s="280"/>
      <c r="AV555" s="280"/>
      <c r="AW555" s="280"/>
      <c r="AX555" s="280"/>
      <c r="AY555" s="280"/>
      <c r="AZ555" s="280"/>
      <c r="BA555" s="280"/>
      <c r="BB555" s="280"/>
      <c r="BC555" s="280"/>
      <c r="BD555" s="280"/>
      <c r="BE555" s="280"/>
      <c r="BF555" s="280"/>
      <c r="BG555" s="280"/>
      <c r="BH555" s="280"/>
      <c r="BI555" s="280"/>
      <c r="BJ555" s="280"/>
      <c r="BK555" s="280"/>
      <c r="BL555" s="280"/>
      <c r="BM555" s="280"/>
      <c r="BN555" s="280"/>
      <c r="BO555" s="280"/>
      <c r="BP555" s="280"/>
      <c r="BQ555" s="280"/>
      <c r="BR555" s="280"/>
      <c r="BS555" s="280"/>
      <c r="BT555" s="280"/>
      <c r="BU555" s="280"/>
      <c r="BV555" s="280"/>
    </row>
    <row r="556" spans="2:74" x14ac:dyDescent="0.2">
      <c r="B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c r="AA556" s="280"/>
      <c r="AB556" s="280"/>
      <c r="AC556" s="280"/>
      <c r="AD556" s="280"/>
      <c r="AE556" s="280"/>
      <c r="AF556" s="280"/>
      <c r="AG556" s="280"/>
      <c r="AH556" s="280"/>
      <c r="AI556" s="280"/>
      <c r="AJ556" s="280"/>
      <c r="AK556" s="280"/>
      <c r="AL556" s="280"/>
      <c r="AM556" s="280"/>
      <c r="AN556" s="280"/>
      <c r="AO556" s="280"/>
      <c r="AP556" s="280"/>
      <c r="AQ556" s="280"/>
      <c r="AR556" s="280"/>
      <c r="AS556" s="280"/>
      <c r="AT556" s="280"/>
      <c r="AU556" s="280"/>
      <c r="AV556" s="280"/>
      <c r="AW556" s="280"/>
      <c r="AX556" s="280"/>
      <c r="AY556" s="280"/>
      <c r="AZ556" s="280"/>
      <c r="BA556" s="280"/>
      <c r="BB556" s="280"/>
      <c r="BC556" s="280"/>
      <c r="BD556" s="280"/>
      <c r="BE556" s="280"/>
      <c r="BF556" s="280"/>
      <c r="BG556" s="280"/>
      <c r="BH556" s="280"/>
      <c r="BI556" s="280"/>
      <c r="BJ556" s="280"/>
      <c r="BK556" s="280"/>
      <c r="BL556" s="280"/>
      <c r="BM556" s="280"/>
      <c r="BN556" s="280"/>
      <c r="BO556" s="280"/>
      <c r="BP556" s="280"/>
      <c r="BQ556" s="280"/>
      <c r="BR556" s="280"/>
      <c r="BS556" s="280"/>
      <c r="BT556" s="280"/>
      <c r="BU556" s="280"/>
      <c r="BV556" s="280"/>
    </row>
    <row r="557" spans="2:74" x14ac:dyDescent="0.2">
      <c r="B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c r="AA557" s="280"/>
      <c r="AB557" s="280"/>
      <c r="AC557" s="280"/>
      <c r="AD557" s="280"/>
      <c r="AE557" s="280"/>
      <c r="AF557" s="280"/>
      <c r="AG557" s="280"/>
      <c r="AH557" s="280"/>
      <c r="AI557" s="280"/>
      <c r="AJ557" s="280"/>
      <c r="AK557" s="280"/>
      <c r="AL557" s="280"/>
      <c r="AM557" s="280"/>
      <c r="AN557" s="280"/>
      <c r="AO557" s="280"/>
      <c r="AP557" s="280"/>
      <c r="AQ557" s="280"/>
      <c r="AR557" s="280"/>
      <c r="AS557" s="280"/>
      <c r="AT557" s="280"/>
      <c r="AU557" s="280"/>
      <c r="AV557" s="280"/>
      <c r="AW557" s="280"/>
      <c r="AX557" s="280"/>
      <c r="AY557" s="280"/>
      <c r="AZ557" s="280"/>
      <c r="BA557" s="280"/>
      <c r="BB557" s="280"/>
      <c r="BC557" s="280"/>
      <c r="BD557" s="280"/>
      <c r="BE557" s="280"/>
      <c r="BF557" s="280"/>
      <c r="BG557" s="280"/>
      <c r="BH557" s="280"/>
      <c r="BI557" s="280"/>
      <c r="BJ557" s="280"/>
      <c r="BK557" s="280"/>
      <c r="BL557" s="280"/>
      <c r="BM557" s="280"/>
      <c r="BN557" s="280"/>
      <c r="BO557" s="280"/>
      <c r="BP557" s="280"/>
      <c r="BQ557" s="280"/>
      <c r="BR557" s="280"/>
      <c r="BS557" s="280"/>
      <c r="BT557" s="280"/>
      <c r="BU557" s="280"/>
      <c r="BV557" s="280"/>
    </row>
    <row r="558" spans="2:74" x14ac:dyDescent="0.2">
      <c r="B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c r="AA558" s="280"/>
      <c r="AB558" s="280"/>
      <c r="AC558" s="280"/>
      <c r="AD558" s="280"/>
      <c r="AE558" s="280"/>
      <c r="AF558" s="280"/>
      <c r="AG558" s="280"/>
      <c r="AH558" s="280"/>
      <c r="AI558" s="280"/>
      <c r="AJ558" s="280"/>
      <c r="AK558" s="280"/>
      <c r="AL558" s="280"/>
      <c r="AM558" s="280"/>
      <c r="AN558" s="280"/>
      <c r="AO558" s="280"/>
      <c r="AP558" s="280"/>
      <c r="AQ558" s="280"/>
      <c r="AR558" s="280"/>
      <c r="AS558" s="280"/>
      <c r="AT558" s="280"/>
      <c r="AU558" s="280"/>
      <c r="AV558" s="280"/>
      <c r="AW558" s="280"/>
      <c r="AX558" s="280"/>
      <c r="AY558" s="280"/>
      <c r="AZ558" s="280"/>
      <c r="BA558" s="280"/>
      <c r="BB558" s="280"/>
      <c r="BC558" s="280"/>
      <c r="BD558" s="280"/>
      <c r="BE558" s="280"/>
      <c r="BF558" s="280"/>
      <c r="BG558" s="280"/>
      <c r="BH558" s="280"/>
      <c r="BI558" s="280"/>
      <c r="BJ558" s="280"/>
      <c r="BK558" s="280"/>
      <c r="BL558" s="280"/>
      <c r="BM558" s="280"/>
      <c r="BN558" s="280"/>
      <c r="BO558" s="280"/>
      <c r="BP558" s="280"/>
      <c r="BQ558" s="280"/>
      <c r="BR558" s="280"/>
      <c r="BS558" s="280"/>
      <c r="BT558" s="280"/>
      <c r="BU558" s="280"/>
      <c r="BV558" s="280"/>
    </row>
    <row r="559" spans="2:74" x14ac:dyDescent="0.2">
      <c r="B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c r="AA559" s="280"/>
      <c r="AB559" s="280"/>
      <c r="AC559" s="280"/>
      <c r="AD559" s="280"/>
      <c r="AE559" s="280"/>
      <c r="AF559" s="280"/>
      <c r="AG559" s="280"/>
      <c r="AH559" s="280"/>
      <c r="AI559" s="280"/>
      <c r="AJ559" s="280"/>
      <c r="AK559" s="280"/>
      <c r="AL559" s="280"/>
      <c r="AM559" s="280"/>
      <c r="AN559" s="280"/>
      <c r="AO559" s="280"/>
      <c r="AP559" s="280"/>
      <c r="AQ559" s="280"/>
      <c r="AR559" s="280"/>
      <c r="AS559" s="280"/>
      <c r="AT559" s="280"/>
      <c r="AU559" s="280"/>
      <c r="AV559" s="280"/>
      <c r="AW559" s="280"/>
      <c r="AX559" s="280"/>
      <c r="AY559" s="280"/>
      <c r="AZ559" s="280"/>
      <c r="BA559" s="280"/>
      <c r="BB559" s="280"/>
      <c r="BC559" s="280"/>
      <c r="BD559" s="280"/>
      <c r="BE559" s="280"/>
      <c r="BF559" s="280"/>
      <c r="BG559" s="280"/>
      <c r="BH559" s="280"/>
      <c r="BI559" s="280"/>
      <c r="BJ559" s="280"/>
      <c r="BK559" s="280"/>
      <c r="BL559" s="280"/>
      <c r="BM559" s="280"/>
      <c r="BN559" s="280"/>
      <c r="BO559" s="280"/>
      <c r="BP559" s="280"/>
      <c r="BQ559" s="280"/>
      <c r="BR559" s="280"/>
      <c r="BS559" s="280"/>
      <c r="BT559" s="280"/>
      <c r="BU559" s="280"/>
      <c r="BV559" s="280"/>
    </row>
    <row r="560" spans="2:74" x14ac:dyDescent="0.2">
      <c r="B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c r="AA560" s="280"/>
      <c r="AB560" s="280"/>
      <c r="AC560" s="280"/>
      <c r="AD560" s="280"/>
      <c r="AE560" s="280"/>
      <c r="AF560" s="280"/>
      <c r="AG560" s="280"/>
      <c r="AH560" s="280"/>
      <c r="AI560" s="280"/>
      <c r="AJ560" s="280"/>
      <c r="AK560" s="280"/>
      <c r="AL560" s="280"/>
      <c r="AM560" s="280"/>
      <c r="AN560" s="280"/>
      <c r="AO560" s="280"/>
      <c r="AP560" s="280"/>
      <c r="AQ560" s="280"/>
      <c r="AR560" s="280"/>
      <c r="AS560" s="280"/>
      <c r="AT560" s="280"/>
      <c r="AU560" s="280"/>
      <c r="AV560" s="280"/>
      <c r="AW560" s="280"/>
      <c r="AX560" s="280"/>
      <c r="AY560" s="280"/>
      <c r="AZ560" s="280"/>
      <c r="BA560" s="280"/>
      <c r="BB560" s="280"/>
      <c r="BC560" s="280"/>
      <c r="BD560" s="280"/>
      <c r="BE560" s="280"/>
      <c r="BF560" s="280"/>
      <c r="BG560" s="280"/>
      <c r="BH560" s="280"/>
      <c r="BI560" s="280"/>
      <c r="BJ560" s="280"/>
      <c r="BK560" s="280"/>
      <c r="BL560" s="280"/>
      <c r="BM560" s="280"/>
      <c r="BN560" s="280"/>
      <c r="BO560" s="280"/>
      <c r="BP560" s="280"/>
      <c r="BQ560" s="280"/>
      <c r="BR560" s="280"/>
      <c r="BS560" s="280"/>
      <c r="BT560" s="280"/>
      <c r="BU560" s="280"/>
      <c r="BV560" s="280"/>
    </row>
    <row r="561" spans="2:74" x14ac:dyDescent="0.2">
      <c r="B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c r="AA561" s="280"/>
      <c r="AB561" s="280"/>
      <c r="AC561" s="280"/>
      <c r="AD561" s="280"/>
      <c r="AE561" s="280"/>
      <c r="AF561" s="280"/>
      <c r="AG561" s="280"/>
      <c r="AH561" s="280"/>
      <c r="AI561" s="280"/>
      <c r="AJ561" s="280"/>
      <c r="AK561" s="280"/>
      <c r="AL561" s="280"/>
      <c r="AM561" s="280"/>
      <c r="AN561" s="280"/>
      <c r="AO561" s="280"/>
      <c r="AP561" s="280"/>
      <c r="AQ561" s="280"/>
      <c r="AR561" s="280"/>
      <c r="AS561" s="280"/>
      <c r="AT561" s="280"/>
      <c r="AU561" s="280"/>
      <c r="AV561" s="280"/>
      <c r="AW561" s="280"/>
      <c r="AX561" s="280"/>
      <c r="AY561" s="280"/>
      <c r="AZ561" s="280"/>
      <c r="BA561" s="280"/>
      <c r="BB561" s="280"/>
      <c r="BC561" s="280"/>
      <c r="BD561" s="280"/>
      <c r="BE561" s="280"/>
      <c r="BF561" s="280"/>
      <c r="BG561" s="280"/>
      <c r="BH561" s="280"/>
      <c r="BI561" s="280"/>
      <c r="BJ561" s="280"/>
      <c r="BK561" s="280"/>
      <c r="BL561" s="280"/>
      <c r="BM561" s="280"/>
      <c r="BN561" s="280"/>
      <c r="BO561" s="280"/>
      <c r="BP561" s="280"/>
      <c r="BQ561" s="280"/>
      <c r="BR561" s="280"/>
      <c r="BS561" s="280"/>
      <c r="BT561" s="280"/>
      <c r="BU561" s="280"/>
      <c r="BV561" s="280"/>
    </row>
    <row r="562" spans="2:74" x14ac:dyDescent="0.2">
      <c r="B562" s="280"/>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c r="Z562" s="280"/>
      <c r="AA562" s="280"/>
      <c r="AB562" s="280"/>
      <c r="AC562" s="280"/>
      <c r="AD562" s="280"/>
      <c r="AE562" s="280"/>
      <c r="AF562" s="280"/>
      <c r="AG562" s="280"/>
      <c r="AH562" s="280"/>
      <c r="AI562" s="280"/>
      <c r="AJ562" s="280"/>
      <c r="AK562" s="280"/>
      <c r="AL562" s="280"/>
      <c r="AM562" s="280"/>
      <c r="AN562" s="280"/>
      <c r="AO562" s="280"/>
      <c r="AP562" s="280"/>
      <c r="AQ562" s="280"/>
      <c r="AR562" s="280"/>
      <c r="AS562" s="280"/>
      <c r="AT562" s="280"/>
      <c r="AU562" s="280"/>
      <c r="AV562" s="280"/>
      <c r="AW562" s="280"/>
      <c r="AX562" s="280"/>
      <c r="AY562" s="280"/>
      <c r="AZ562" s="280"/>
      <c r="BA562" s="280"/>
      <c r="BB562" s="280"/>
      <c r="BC562" s="280"/>
      <c r="BD562" s="280"/>
      <c r="BE562" s="280"/>
      <c r="BF562" s="280"/>
      <c r="BG562" s="280"/>
      <c r="BH562" s="280"/>
      <c r="BI562" s="280"/>
      <c r="BJ562" s="280"/>
      <c r="BK562" s="280"/>
      <c r="BL562" s="280"/>
      <c r="BM562" s="280"/>
      <c r="BN562" s="280"/>
      <c r="BO562" s="280"/>
      <c r="BP562" s="280"/>
      <c r="BQ562" s="280"/>
      <c r="BR562" s="280"/>
      <c r="BS562" s="280"/>
      <c r="BT562" s="280"/>
      <c r="BU562" s="280"/>
      <c r="BV562" s="280"/>
    </row>
    <row r="563" spans="2:74" x14ac:dyDescent="0.2">
      <c r="B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c r="AA563" s="280"/>
      <c r="AB563" s="280"/>
      <c r="AC563" s="280"/>
      <c r="AD563" s="280"/>
      <c r="AE563" s="280"/>
      <c r="AF563" s="280"/>
      <c r="AG563" s="280"/>
      <c r="AH563" s="280"/>
      <c r="AI563" s="280"/>
      <c r="AJ563" s="280"/>
      <c r="AK563" s="280"/>
      <c r="AL563" s="280"/>
      <c r="AM563" s="280"/>
      <c r="AN563" s="280"/>
      <c r="AO563" s="280"/>
      <c r="AP563" s="280"/>
      <c r="AQ563" s="280"/>
      <c r="AR563" s="280"/>
      <c r="AS563" s="280"/>
      <c r="AT563" s="280"/>
      <c r="AU563" s="280"/>
      <c r="AV563" s="280"/>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row>
    <row r="564" spans="2:74" x14ac:dyDescent="0.2">
      <c r="B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c r="Z564" s="280"/>
      <c r="AA564" s="280"/>
      <c r="AB564" s="280"/>
      <c r="AC564" s="280"/>
      <c r="AD564" s="280"/>
      <c r="AE564" s="280"/>
      <c r="AF564" s="280"/>
      <c r="AG564" s="280"/>
      <c r="AH564" s="280"/>
      <c r="AI564" s="280"/>
      <c r="AJ564" s="280"/>
      <c r="AK564" s="280"/>
      <c r="AL564" s="280"/>
      <c r="AM564" s="280"/>
      <c r="AN564" s="280"/>
      <c r="AO564" s="280"/>
      <c r="AP564" s="280"/>
      <c r="AQ564" s="280"/>
      <c r="AR564" s="280"/>
      <c r="AS564" s="280"/>
      <c r="AT564" s="280"/>
      <c r="AU564" s="280"/>
      <c r="AV564" s="280"/>
      <c r="AW564" s="280"/>
      <c r="AX564" s="280"/>
      <c r="AY564" s="280"/>
      <c r="AZ564" s="280"/>
      <c r="BA564" s="280"/>
      <c r="BB564" s="280"/>
      <c r="BC564" s="280"/>
      <c r="BD564" s="280"/>
      <c r="BE564" s="280"/>
      <c r="BF564" s="280"/>
      <c r="BG564" s="280"/>
      <c r="BH564" s="280"/>
      <c r="BI564" s="280"/>
      <c r="BJ564" s="280"/>
      <c r="BK564" s="280"/>
      <c r="BL564" s="280"/>
      <c r="BM564" s="280"/>
      <c r="BN564" s="280"/>
      <c r="BO564" s="280"/>
      <c r="BP564" s="280"/>
      <c r="BQ564" s="280"/>
      <c r="BR564" s="280"/>
      <c r="BS564" s="280"/>
      <c r="BT564" s="280"/>
      <c r="BU564" s="280"/>
      <c r="BV564" s="280"/>
    </row>
    <row r="565" spans="2:74" x14ac:dyDescent="0.2">
      <c r="B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c r="AA565" s="280"/>
      <c r="AB565" s="280"/>
      <c r="AC565" s="280"/>
      <c r="AD565" s="280"/>
      <c r="AE565" s="280"/>
      <c r="AF565" s="280"/>
      <c r="AG565" s="280"/>
      <c r="AH565" s="280"/>
      <c r="AI565" s="280"/>
      <c r="AJ565" s="280"/>
      <c r="AK565" s="280"/>
      <c r="AL565" s="280"/>
      <c r="AM565" s="280"/>
      <c r="AN565" s="280"/>
      <c r="AO565" s="280"/>
      <c r="AP565" s="280"/>
      <c r="AQ565" s="280"/>
      <c r="AR565" s="280"/>
      <c r="AS565" s="280"/>
      <c r="AT565" s="280"/>
      <c r="AU565" s="280"/>
      <c r="AV565" s="280"/>
      <c r="AW565" s="280"/>
      <c r="AX565" s="280"/>
      <c r="AY565" s="280"/>
      <c r="AZ565" s="280"/>
      <c r="BA565" s="280"/>
      <c r="BB565" s="280"/>
      <c r="BC565" s="280"/>
      <c r="BD565" s="280"/>
      <c r="BE565" s="280"/>
      <c r="BF565" s="280"/>
      <c r="BG565" s="280"/>
      <c r="BH565" s="280"/>
      <c r="BI565" s="280"/>
      <c r="BJ565" s="280"/>
      <c r="BK565" s="280"/>
      <c r="BL565" s="280"/>
      <c r="BM565" s="280"/>
      <c r="BN565" s="280"/>
      <c r="BO565" s="280"/>
      <c r="BP565" s="280"/>
      <c r="BQ565" s="280"/>
      <c r="BR565" s="280"/>
      <c r="BS565" s="280"/>
      <c r="BT565" s="280"/>
      <c r="BU565" s="280"/>
      <c r="BV565" s="280"/>
    </row>
    <row r="566" spans="2:74" x14ac:dyDescent="0.2">
      <c r="B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c r="AA566" s="280"/>
      <c r="AB566" s="280"/>
      <c r="AC566" s="280"/>
      <c r="AD566" s="280"/>
      <c r="AE566" s="280"/>
      <c r="AF566" s="280"/>
      <c r="AG566" s="280"/>
      <c r="AH566" s="280"/>
      <c r="AI566" s="280"/>
      <c r="AJ566" s="280"/>
      <c r="AK566" s="280"/>
      <c r="AL566" s="280"/>
      <c r="AM566" s="280"/>
      <c r="AN566" s="280"/>
      <c r="AO566" s="280"/>
      <c r="AP566" s="280"/>
      <c r="AQ566" s="280"/>
      <c r="AR566" s="280"/>
      <c r="AS566" s="280"/>
      <c r="AT566" s="280"/>
      <c r="AU566" s="280"/>
      <c r="AV566" s="280"/>
      <c r="AW566" s="280"/>
      <c r="AX566" s="280"/>
      <c r="AY566" s="280"/>
      <c r="AZ566" s="280"/>
      <c r="BA566" s="280"/>
      <c r="BB566" s="280"/>
      <c r="BC566" s="280"/>
      <c r="BD566" s="280"/>
      <c r="BE566" s="280"/>
      <c r="BF566" s="280"/>
      <c r="BG566" s="280"/>
      <c r="BH566" s="280"/>
      <c r="BI566" s="280"/>
      <c r="BJ566" s="280"/>
      <c r="BK566" s="280"/>
      <c r="BL566" s="280"/>
      <c r="BM566" s="280"/>
      <c r="BN566" s="280"/>
      <c r="BO566" s="280"/>
      <c r="BP566" s="280"/>
      <c r="BQ566" s="280"/>
      <c r="BR566" s="280"/>
      <c r="BS566" s="280"/>
      <c r="BT566" s="280"/>
      <c r="BU566" s="280"/>
      <c r="BV566" s="280"/>
    </row>
    <row r="567" spans="2:74" x14ac:dyDescent="0.2">
      <c r="B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c r="AA567" s="280"/>
      <c r="AB567" s="280"/>
      <c r="AC567" s="280"/>
      <c r="AD567" s="280"/>
      <c r="AE567" s="280"/>
      <c r="AF567" s="280"/>
      <c r="AG567" s="280"/>
      <c r="AH567" s="280"/>
      <c r="AI567" s="280"/>
      <c r="AJ567" s="280"/>
      <c r="AK567" s="280"/>
      <c r="AL567" s="280"/>
      <c r="AM567" s="280"/>
      <c r="AN567" s="280"/>
      <c r="AO567" s="280"/>
      <c r="AP567" s="280"/>
      <c r="AQ567" s="280"/>
      <c r="AR567" s="280"/>
      <c r="AS567" s="280"/>
      <c r="AT567" s="280"/>
      <c r="AU567" s="280"/>
      <c r="AV567" s="280"/>
      <c r="AW567" s="280"/>
      <c r="AX567" s="280"/>
      <c r="AY567" s="280"/>
      <c r="AZ567" s="280"/>
      <c r="BA567" s="280"/>
      <c r="BB567" s="280"/>
      <c r="BC567" s="280"/>
      <c r="BD567" s="280"/>
      <c r="BE567" s="280"/>
      <c r="BF567" s="280"/>
      <c r="BG567" s="280"/>
      <c r="BH567" s="280"/>
      <c r="BI567" s="280"/>
      <c r="BJ567" s="280"/>
      <c r="BK567" s="280"/>
      <c r="BL567" s="280"/>
      <c r="BM567" s="280"/>
      <c r="BN567" s="280"/>
      <c r="BO567" s="280"/>
      <c r="BP567" s="280"/>
      <c r="BQ567" s="280"/>
      <c r="BR567" s="280"/>
      <c r="BS567" s="280"/>
      <c r="BT567" s="280"/>
      <c r="BU567" s="280"/>
      <c r="BV567" s="280"/>
    </row>
    <row r="568" spans="2:74" x14ac:dyDescent="0.2">
      <c r="B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c r="AA568" s="280"/>
      <c r="AB568" s="280"/>
      <c r="AC568" s="280"/>
      <c r="AD568" s="280"/>
      <c r="AE568" s="280"/>
      <c r="AF568" s="280"/>
      <c r="AG568" s="280"/>
      <c r="AH568" s="280"/>
      <c r="AI568" s="280"/>
      <c r="AJ568" s="280"/>
      <c r="AK568" s="280"/>
      <c r="AL568" s="280"/>
      <c r="AM568" s="280"/>
      <c r="AN568" s="280"/>
      <c r="AO568" s="280"/>
      <c r="AP568" s="280"/>
      <c r="AQ568" s="280"/>
      <c r="AR568" s="280"/>
      <c r="AS568" s="280"/>
      <c r="AT568" s="280"/>
      <c r="AU568" s="280"/>
      <c r="AV568" s="280"/>
      <c r="AW568" s="280"/>
      <c r="AX568" s="280"/>
      <c r="AY568" s="280"/>
      <c r="AZ568" s="280"/>
      <c r="BA568" s="280"/>
      <c r="BB568" s="280"/>
      <c r="BC568" s="280"/>
      <c r="BD568" s="280"/>
      <c r="BE568" s="280"/>
      <c r="BF568" s="280"/>
      <c r="BG568" s="280"/>
      <c r="BH568" s="280"/>
      <c r="BI568" s="280"/>
      <c r="BJ568" s="280"/>
      <c r="BK568" s="280"/>
      <c r="BL568" s="280"/>
      <c r="BM568" s="280"/>
      <c r="BN568" s="280"/>
      <c r="BO568" s="280"/>
      <c r="BP568" s="280"/>
      <c r="BQ568" s="280"/>
      <c r="BR568" s="280"/>
      <c r="BS568" s="280"/>
      <c r="BT568" s="280"/>
      <c r="BU568" s="280"/>
      <c r="BV568" s="280"/>
    </row>
    <row r="569" spans="2:74" x14ac:dyDescent="0.2">
      <c r="B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c r="AA569" s="280"/>
      <c r="AB569" s="280"/>
      <c r="AC569" s="280"/>
      <c r="AD569" s="280"/>
      <c r="AE569" s="280"/>
      <c r="AF569" s="280"/>
      <c r="AG569" s="280"/>
      <c r="AH569" s="280"/>
      <c r="AI569" s="280"/>
      <c r="AJ569" s="280"/>
      <c r="AK569" s="280"/>
      <c r="AL569" s="280"/>
      <c r="AM569" s="280"/>
      <c r="AN569" s="280"/>
      <c r="AO569" s="280"/>
      <c r="AP569" s="280"/>
      <c r="AQ569" s="280"/>
      <c r="AR569" s="280"/>
      <c r="AS569" s="280"/>
      <c r="AT569" s="280"/>
      <c r="AU569" s="280"/>
      <c r="AV569" s="280"/>
      <c r="AW569" s="280"/>
      <c r="AX569" s="280"/>
      <c r="AY569" s="280"/>
      <c r="AZ569" s="280"/>
      <c r="BA569" s="280"/>
      <c r="BB569" s="280"/>
      <c r="BC569" s="280"/>
      <c r="BD569" s="280"/>
      <c r="BE569" s="280"/>
      <c r="BF569" s="280"/>
      <c r="BG569" s="280"/>
      <c r="BH569" s="280"/>
      <c r="BI569" s="280"/>
      <c r="BJ569" s="280"/>
      <c r="BK569" s="280"/>
      <c r="BL569" s="280"/>
      <c r="BM569" s="280"/>
      <c r="BN569" s="280"/>
      <c r="BO569" s="280"/>
      <c r="BP569" s="280"/>
      <c r="BQ569" s="280"/>
      <c r="BR569" s="280"/>
      <c r="BS569" s="280"/>
      <c r="BT569" s="280"/>
      <c r="BU569" s="280"/>
      <c r="BV569" s="280"/>
    </row>
    <row r="570" spans="2:74" x14ac:dyDescent="0.2">
      <c r="B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c r="AA570" s="280"/>
      <c r="AB570" s="280"/>
      <c r="AC570" s="280"/>
      <c r="AD570" s="280"/>
      <c r="AE570" s="280"/>
      <c r="AF570" s="280"/>
      <c r="AG570" s="280"/>
      <c r="AH570" s="280"/>
      <c r="AI570" s="280"/>
      <c r="AJ570" s="280"/>
      <c r="AK570" s="280"/>
      <c r="AL570" s="280"/>
      <c r="AM570" s="280"/>
      <c r="AN570" s="280"/>
      <c r="AO570" s="280"/>
      <c r="AP570" s="280"/>
      <c r="AQ570" s="280"/>
      <c r="AR570" s="280"/>
      <c r="AS570" s="280"/>
      <c r="AT570" s="280"/>
      <c r="AU570" s="280"/>
      <c r="AV570" s="280"/>
      <c r="AW570" s="280"/>
      <c r="AX570" s="280"/>
      <c r="AY570" s="280"/>
      <c r="AZ570" s="280"/>
      <c r="BA570" s="280"/>
      <c r="BB570" s="280"/>
      <c r="BC570" s="280"/>
      <c r="BD570" s="280"/>
      <c r="BE570" s="280"/>
      <c r="BF570" s="280"/>
      <c r="BG570" s="280"/>
      <c r="BH570" s="280"/>
      <c r="BI570" s="280"/>
      <c r="BJ570" s="280"/>
      <c r="BK570" s="280"/>
      <c r="BL570" s="280"/>
      <c r="BM570" s="280"/>
      <c r="BN570" s="280"/>
      <c r="BO570" s="280"/>
      <c r="BP570" s="280"/>
      <c r="BQ570" s="280"/>
      <c r="BR570" s="280"/>
      <c r="BS570" s="280"/>
      <c r="BT570" s="280"/>
      <c r="BU570" s="280"/>
      <c r="BV570" s="280"/>
    </row>
    <row r="571" spans="2:74" x14ac:dyDescent="0.2">
      <c r="B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c r="AA571" s="280"/>
      <c r="AB571" s="280"/>
      <c r="AC571" s="280"/>
      <c r="AD571" s="280"/>
      <c r="AE571" s="280"/>
      <c r="AF571" s="280"/>
      <c r="AG571" s="280"/>
      <c r="AH571" s="280"/>
      <c r="AI571" s="280"/>
      <c r="AJ571" s="280"/>
      <c r="AK571" s="280"/>
      <c r="AL571" s="280"/>
      <c r="AM571" s="280"/>
      <c r="AN571" s="280"/>
      <c r="AO571" s="280"/>
      <c r="AP571" s="280"/>
      <c r="AQ571" s="280"/>
      <c r="AR571" s="280"/>
      <c r="AS571" s="280"/>
      <c r="AT571" s="280"/>
      <c r="AU571" s="280"/>
      <c r="AV571" s="280"/>
      <c r="AW571" s="280"/>
      <c r="AX571" s="280"/>
      <c r="AY571" s="280"/>
      <c r="AZ571" s="280"/>
      <c r="BA571" s="280"/>
      <c r="BB571" s="280"/>
      <c r="BC571" s="280"/>
      <c r="BD571" s="280"/>
      <c r="BE571" s="280"/>
      <c r="BF571" s="280"/>
      <c r="BG571" s="280"/>
      <c r="BH571" s="280"/>
      <c r="BI571" s="280"/>
      <c r="BJ571" s="280"/>
      <c r="BK571" s="280"/>
      <c r="BL571" s="280"/>
      <c r="BM571" s="280"/>
      <c r="BN571" s="280"/>
      <c r="BO571" s="280"/>
      <c r="BP571" s="280"/>
      <c r="BQ571" s="280"/>
      <c r="BR571" s="280"/>
      <c r="BS571" s="280"/>
      <c r="BT571" s="280"/>
      <c r="BU571" s="280"/>
      <c r="BV571" s="280"/>
    </row>
    <row r="572" spans="2:74" x14ac:dyDescent="0.2">
      <c r="B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c r="AA572" s="280"/>
      <c r="AB572" s="280"/>
      <c r="AC572" s="280"/>
      <c r="AD572" s="280"/>
      <c r="AE572" s="280"/>
      <c r="AF572" s="280"/>
      <c r="AG572" s="280"/>
      <c r="AH572" s="280"/>
      <c r="AI572" s="280"/>
      <c r="AJ572" s="280"/>
      <c r="AK572" s="280"/>
      <c r="AL572" s="280"/>
      <c r="AM572" s="280"/>
      <c r="AN572" s="280"/>
      <c r="AO572" s="280"/>
      <c r="AP572" s="280"/>
      <c r="AQ572" s="280"/>
      <c r="AR572" s="280"/>
      <c r="AS572" s="280"/>
      <c r="AT572" s="280"/>
      <c r="AU572" s="280"/>
      <c r="AV572" s="280"/>
      <c r="AW572" s="280"/>
      <c r="AX572" s="280"/>
      <c r="AY572" s="280"/>
      <c r="AZ572" s="280"/>
      <c r="BA572" s="280"/>
      <c r="BB572" s="280"/>
      <c r="BC572" s="280"/>
      <c r="BD572" s="280"/>
      <c r="BE572" s="280"/>
      <c r="BF572" s="280"/>
      <c r="BG572" s="280"/>
      <c r="BH572" s="280"/>
      <c r="BI572" s="280"/>
      <c r="BJ572" s="280"/>
      <c r="BK572" s="280"/>
      <c r="BL572" s="280"/>
      <c r="BM572" s="280"/>
      <c r="BN572" s="280"/>
      <c r="BO572" s="280"/>
      <c r="BP572" s="280"/>
      <c r="BQ572" s="280"/>
      <c r="BR572" s="280"/>
      <c r="BS572" s="280"/>
      <c r="BT572" s="280"/>
      <c r="BU572" s="280"/>
      <c r="BV572" s="280"/>
    </row>
    <row r="573" spans="2:74" x14ac:dyDescent="0.2">
      <c r="B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c r="AA573" s="280"/>
      <c r="AB573" s="280"/>
      <c r="AC573" s="280"/>
      <c r="AD573" s="280"/>
      <c r="AE573" s="280"/>
      <c r="AF573" s="280"/>
      <c r="AG573" s="280"/>
      <c r="AH573" s="280"/>
      <c r="AI573" s="280"/>
      <c r="AJ573" s="280"/>
      <c r="AK573" s="280"/>
      <c r="AL573" s="280"/>
      <c r="AM573" s="280"/>
      <c r="AN573" s="280"/>
      <c r="AO573" s="280"/>
      <c r="AP573" s="280"/>
      <c r="AQ573" s="280"/>
      <c r="AR573" s="280"/>
      <c r="AS573" s="280"/>
      <c r="AT573" s="280"/>
      <c r="AU573" s="280"/>
      <c r="AV573" s="280"/>
      <c r="AW573" s="280"/>
      <c r="AX573" s="280"/>
      <c r="AY573" s="280"/>
      <c r="AZ573" s="280"/>
      <c r="BA573" s="280"/>
      <c r="BB573" s="280"/>
      <c r="BC573" s="280"/>
      <c r="BD573" s="280"/>
      <c r="BE573" s="280"/>
      <c r="BF573" s="280"/>
      <c r="BG573" s="280"/>
      <c r="BH573" s="280"/>
      <c r="BI573" s="280"/>
      <c r="BJ573" s="280"/>
      <c r="BK573" s="280"/>
      <c r="BL573" s="280"/>
      <c r="BM573" s="280"/>
      <c r="BN573" s="280"/>
      <c r="BO573" s="280"/>
      <c r="BP573" s="280"/>
      <c r="BQ573" s="280"/>
      <c r="BR573" s="280"/>
      <c r="BS573" s="280"/>
      <c r="BT573" s="280"/>
      <c r="BU573" s="280"/>
      <c r="BV573" s="280"/>
    </row>
    <row r="574" spans="2:74" x14ac:dyDescent="0.2">
      <c r="B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c r="AA574" s="280"/>
      <c r="AB574" s="280"/>
      <c r="AC574" s="280"/>
      <c r="AD574" s="280"/>
      <c r="AE574" s="280"/>
      <c r="AF574" s="280"/>
      <c r="AG574" s="280"/>
      <c r="AH574" s="280"/>
      <c r="AI574" s="280"/>
      <c r="AJ574" s="280"/>
      <c r="AK574" s="280"/>
      <c r="AL574" s="280"/>
      <c r="AM574" s="280"/>
      <c r="AN574" s="280"/>
      <c r="AO574" s="280"/>
      <c r="AP574" s="280"/>
      <c r="AQ574" s="280"/>
      <c r="AR574" s="280"/>
      <c r="AS574" s="280"/>
      <c r="AT574" s="280"/>
      <c r="AU574" s="280"/>
      <c r="AV574" s="280"/>
      <c r="AW574" s="280"/>
      <c r="AX574" s="280"/>
      <c r="AY574" s="280"/>
      <c r="AZ574" s="280"/>
      <c r="BA574" s="280"/>
      <c r="BB574" s="280"/>
      <c r="BC574" s="280"/>
      <c r="BD574" s="280"/>
      <c r="BE574" s="280"/>
      <c r="BF574" s="280"/>
      <c r="BG574" s="280"/>
      <c r="BH574" s="280"/>
      <c r="BI574" s="280"/>
      <c r="BJ574" s="280"/>
      <c r="BK574" s="280"/>
      <c r="BL574" s="280"/>
      <c r="BM574" s="280"/>
      <c r="BN574" s="280"/>
      <c r="BO574" s="280"/>
      <c r="BP574" s="280"/>
      <c r="BQ574" s="280"/>
      <c r="BR574" s="280"/>
      <c r="BS574" s="280"/>
      <c r="BT574" s="280"/>
      <c r="BU574" s="280"/>
      <c r="BV574" s="280"/>
    </row>
    <row r="575" spans="2:74" x14ac:dyDescent="0.2">
      <c r="B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c r="AA575" s="280"/>
      <c r="AB575" s="280"/>
      <c r="AC575" s="280"/>
      <c r="AD575" s="280"/>
      <c r="AE575" s="280"/>
      <c r="AF575" s="280"/>
      <c r="AG575" s="280"/>
      <c r="AH575" s="280"/>
      <c r="AI575" s="280"/>
      <c r="AJ575" s="280"/>
      <c r="AK575" s="280"/>
      <c r="AL575" s="280"/>
      <c r="AM575" s="280"/>
      <c r="AN575" s="280"/>
      <c r="AO575" s="280"/>
      <c r="AP575" s="280"/>
      <c r="AQ575" s="280"/>
      <c r="AR575" s="280"/>
      <c r="AS575" s="280"/>
      <c r="AT575" s="280"/>
      <c r="AU575" s="280"/>
      <c r="AV575" s="280"/>
      <c r="AW575" s="280"/>
      <c r="AX575" s="280"/>
      <c r="AY575" s="280"/>
      <c r="AZ575" s="280"/>
      <c r="BA575" s="280"/>
      <c r="BB575" s="280"/>
      <c r="BC575" s="280"/>
      <c r="BD575" s="280"/>
      <c r="BE575" s="280"/>
      <c r="BF575" s="280"/>
      <c r="BG575" s="280"/>
      <c r="BH575" s="280"/>
      <c r="BI575" s="280"/>
      <c r="BJ575" s="280"/>
      <c r="BK575" s="280"/>
      <c r="BL575" s="280"/>
      <c r="BM575" s="280"/>
      <c r="BN575" s="280"/>
      <c r="BO575" s="280"/>
      <c r="BP575" s="280"/>
      <c r="BQ575" s="280"/>
      <c r="BR575" s="280"/>
      <c r="BS575" s="280"/>
      <c r="BT575" s="280"/>
      <c r="BU575" s="280"/>
      <c r="BV575" s="280"/>
    </row>
    <row r="576" spans="2:74" x14ac:dyDescent="0.2">
      <c r="B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c r="AA576" s="280"/>
      <c r="AB576" s="280"/>
      <c r="AC576" s="280"/>
      <c r="AD576" s="280"/>
      <c r="AE576" s="280"/>
      <c r="AF576" s="280"/>
      <c r="AG576" s="280"/>
      <c r="AH576" s="280"/>
      <c r="AI576" s="280"/>
      <c r="AJ576" s="280"/>
      <c r="AK576" s="280"/>
      <c r="AL576" s="280"/>
      <c r="AM576" s="280"/>
      <c r="AN576" s="280"/>
      <c r="AO576" s="280"/>
      <c r="AP576" s="280"/>
      <c r="AQ576" s="280"/>
      <c r="AR576" s="280"/>
      <c r="AS576" s="280"/>
      <c r="AT576" s="280"/>
      <c r="AU576" s="280"/>
      <c r="AV576" s="280"/>
      <c r="AW576" s="280"/>
      <c r="AX576" s="280"/>
      <c r="AY576" s="280"/>
      <c r="AZ576" s="280"/>
      <c r="BA576" s="280"/>
      <c r="BB576" s="280"/>
      <c r="BC576" s="280"/>
      <c r="BD576" s="280"/>
      <c r="BE576" s="280"/>
      <c r="BF576" s="280"/>
      <c r="BG576" s="280"/>
      <c r="BH576" s="280"/>
      <c r="BI576" s="280"/>
      <c r="BJ576" s="280"/>
      <c r="BK576" s="280"/>
      <c r="BL576" s="280"/>
      <c r="BM576" s="280"/>
      <c r="BN576" s="280"/>
      <c r="BO576" s="280"/>
      <c r="BP576" s="280"/>
      <c r="BQ576" s="280"/>
      <c r="BR576" s="280"/>
      <c r="BS576" s="280"/>
      <c r="BT576" s="280"/>
      <c r="BU576" s="280"/>
      <c r="BV576" s="280"/>
    </row>
    <row r="577" spans="2:74" x14ac:dyDescent="0.2">
      <c r="B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c r="AA577" s="280"/>
      <c r="AB577" s="280"/>
      <c r="AC577" s="280"/>
      <c r="AD577" s="280"/>
      <c r="AE577" s="280"/>
      <c r="AF577" s="280"/>
      <c r="AG577" s="280"/>
      <c r="AH577" s="280"/>
      <c r="AI577" s="280"/>
      <c r="AJ577" s="280"/>
      <c r="AK577" s="280"/>
      <c r="AL577" s="280"/>
      <c r="AM577" s="280"/>
      <c r="AN577" s="280"/>
      <c r="AO577" s="280"/>
      <c r="AP577" s="280"/>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row>
    <row r="578" spans="2:74" x14ac:dyDescent="0.2">
      <c r="B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c r="AA578" s="280"/>
      <c r="AB578" s="280"/>
      <c r="AC578" s="280"/>
      <c r="AD578" s="280"/>
      <c r="AE578" s="280"/>
      <c r="AF578" s="280"/>
      <c r="AG578" s="280"/>
      <c r="AH578" s="280"/>
      <c r="AI578" s="280"/>
      <c r="AJ578" s="280"/>
      <c r="AK578" s="280"/>
      <c r="AL578" s="280"/>
      <c r="AM578" s="280"/>
      <c r="AN578" s="280"/>
      <c r="AO578" s="280"/>
      <c r="AP578" s="280"/>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row>
    <row r="579" spans="2:74" x14ac:dyDescent="0.2">
      <c r="B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c r="AA579" s="280"/>
      <c r="AB579" s="280"/>
      <c r="AC579" s="280"/>
      <c r="AD579" s="280"/>
      <c r="AE579" s="280"/>
      <c r="AF579" s="280"/>
      <c r="AG579" s="280"/>
      <c r="AH579" s="280"/>
      <c r="AI579" s="280"/>
      <c r="AJ579" s="280"/>
      <c r="AK579" s="280"/>
      <c r="AL579" s="280"/>
      <c r="AM579" s="280"/>
      <c r="AN579" s="280"/>
      <c r="AO579" s="280"/>
      <c r="AP579" s="280"/>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row>
    <row r="580" spans="2:74" x14ac:dyDescent="0.2">
      <c r="B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c r="AA580" s="280"/>
      <c r="AB580" s="280"/>
      <c r="AC580" s="280"/>
      <c r="AD580" s="280"/>
      <c r="AE580" s="280"/>
      <c r="AF580" s="280"/>
      <c r="AG580" s="280"/>
      <c r="AH580" s="280"/>
      <c r="AI580" s="280"/>
      <c r="AJ580" s="280"/>
      <c r="AK580" s="280"/>
      <c r="AL580" s="280"/>
      <c r="AM580" s="280"/>
      <c r="AN580" s="280"/>
      <c r="AO580" s="280"/>
      <c r="AP580" s="280"/>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row>
    <row r="581" spans="2:74" x14ac:dyDescent="0.2">
      <c r="B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0"/>
      <c r="AL581" s="280"/>
      <c r="AM581" s="280"/>
      <c r="AN581" s="280"/>
      <c r="AO581" s="280"/>
      <c r="AP581" s="280"/>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row>
    <row r="582" spans="2:74" x14ac:dyDescent="0.2">
      <c r="B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c r="AA582" s="280"/>
      <c r="AB582" s="280"/>
      <c r="AC582" s="280"/>
      <c r="AD582" s="280"/>
      <c r="AE582" s="280"/>
      <c r="AF582" s="280"/>
      <c r="AG582" s="280"/>
      <c r="AH582" s="280"/>
      <c r="AI582" s="280"/>
      <c r="AJ582" s="280"/>
      <c r="AK582" s="280"/>
      <c r="AL582" s="280"/>
      <c r="AM582" s="280"/>
      <c r="AN582" s="280"/>
      <c r="AO582" s="280"/>
      <c r="AP582" s="280"/>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row>
    <row r="583" spans="2:74" x14ac:dyDescent="0.2">
      <c r="B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c r="AH583" s="280"/>
      <c r="AI583" s="280"/>
      <c r="AJ583" s="280"/>
      <c r="AK583" s="280"/>
      <c r="AL583" s="280"/>
      <c r="AM583" s="280"/>
      <c r="AN583" s="280"/>
      <c r="AO583" s="280"/>
      <c r="AP583" s="280"/>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row>
    <row r="584" spans="2:74" x14ac:dyDescent="0.2">
      <c r="B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c r="AA584" s="280"/>
      <c r="AB584" s="280"/>
      <c r="AC584" s="280"/>
      <c r="AD584" s="280"/>
      <c r="AE584" s="280"/>
      <c r="AF584" s="280"/>
      <c r="AG584" s="280"/>
      <c r="AH584" s="280"/>
      <c r="AI584" s="280"/>
      <c r="AJ584" s="280"/>
      <c r="AK584" s="280"/>
      <c r="AL584" s="280"/>
      <c r="AM584" s="280"/>
      <c r="AN584" s="280"/>
      <c r="AO584" s="280"/>
      <c r="AP584" s="280"/>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row>
    <row r="585" spans="2:74" x14ac:dyDescent="0.2">
      <c r="B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c r="AA585" s="280"/>
      <c r="AB585" s="280"/>
      <c r="AC585" s="280"/>
      <c r="AD585" s="280"/>
      <c r="AE585" s="280"/>
      <c r="AF585" s="280"/>
      <c r="AG585" s="280"/>
      <c r="AH585" s="280"/>
      <c r="AI585" s="280"/>
      <c r="AJ585" s="280"/>
      <c r="AK585" s="280"/>
      <c r="AL585" s="280"/>
      <c r="AM585" s="280"/>
      <c r="AN585" s="280"/>
      <c r="AO585" s="280"/>
      <c r="AP585" s="280"/>
      <c r="AQ585" s="280"/>
      <c r="AR585" s="280"/>
      <c r="AS585" s="280"/>
      <c r="AT585" s="280"/>
      <c r="AU585" s="280"/>
      <c r="AV585" s="280"/>
      <c r="AW585" s="280"/>
      <c r="AX585" s="280"/>
      <c r="AY585" s="280"/>
      <c r="AZ585" s="280"/>
      <c r="BA585" s="280"/>
      <c r="BB585" s="280"/>
      <c r="BC585" s="280"/>
      <c r="BD585" s="280"/>
      <c r="BE585" s="280"/>
      <c r="BF585" s="280"/>
      <c r="BG585" s="280"/>
      <c r="BH585" s="280"/>
      <c r="BI585" s="280"/>
      <c r="BJ585" s="280"/>
      <c r="BK585" s="280"/>
      <c r="BL585" s="280"/>
      <c r="BM585" s="280"/>
      <c r="BN585" s="280"/>
      <c r="BO585" s="280"/>
      <c r="BP585" s="280"/>
      <c r="BQ585" s="280"/>
      <c r="BR585" s="280"/>
      <c r="BS585" s="280"/>
      <c r="BT585" s="280"/>
      <c r="BU585" s="280"/>
      <c r="BV585" s="280"/>
    </row>
    <row r="586" spans="2:74" x14ac:dyDescent="0.2">
      <c r="B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c r="AA586" s="280"/>
      <c r="AB586" s="280"/>
      <c r="AC586" s="280"/>
      <c r="AD586" s="280"/>
      <c r="AE586" s="280"/>
      <c r="AF586" s="280"/>
      <c r="AG586" s="280"/>
      <c r="AH586" s="280"/>
      <c r="AI586" s="280"/>
      <c r="AJ586" s="280"/>
      <c r="AK586" s="280"/>
      <c r="AL586" s="280"/>
      <c r="AM586" s="280"/>
      <c r="AN586" s="280"/>
      <c r="AO586" s="280"/>
      <c r="AP586" s="280"/>
      <c r="AQ586" s="280"/>
      <c r="AR586" s="280"/>
      <c r="AS586" s="280"/>
      <c r="AT586" s="280"/>
      <c r="AU586" s="280"/>
      <c r="AV586" s="280"/>
      <c r="AW586" s="280"/>
      <c r="AX586" s="280"/>
      <c r="AY586" s="280"/>
      <c r="AZ586" s="280"/>
      <c r="BA586" s="280"/>
      <c r="BB586" s="280"/>
      <c r="BC586" s="280"/>
      <c r="BD586" s="280"/>
      <c r="BE586" s="280"/>
      <c r="BF586" s="280"/>
      <c r="BG586" s="280"/>
      <c r="BH586" s="280"/>
      <c r="BI586" s="280"/>
      <c r="BJ586" s="280"/>
      <c r="BK586" s="280"/>
      <c r="BL586" s="280"/>
      <c r="BM586" s="280"/>
      <c r="BN586" s="280"/>
      <c r="BO586" s="280"/>
      <c r="BP586" s="280"/>
      <c r="BQ586" s="280"/>
      <c r="BR586" s="280"/>
      <c r="BS586" s="280"/>
      <c r="BT586" s="280"/>
      <c r="BU586" s="280"/>
      <c r="BV586" s="280"/>
    </row>
    <row r="587" spans="2:74" x14ac:dyDescent="0.2">
      <c r="B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c r="AA587" s="280"/>
      <c r="AB587" s="280"/>
      <c r="AC587" s="280"/>
      <c r="AD587" s="280"/>
      <c r="AE587" s="280"/>
      <c r="AF587" s="280"/>
      <c r="AG587" s="280"/>
      <c r="AH587" s="280"/>
      <c r="AI587" s="280"/>
      <c r="AJ587" s="280"/>
      <c r="AK587" s="280"/>
      <c r="AL587" s="280"/>
      <c r="AM587" s="280"/>
      <c r="AN587" s="280"/>
      <c r="AO587" s="280"/>
      <c r="AP587" s="280"/>
      <c r="AQ587" s="280"/>
      <c r="AR587" s="280"/>
      <c r="AS587" s="280"/>
      <c r="AT587" s="280"/>
      <c r="AU587" s="280"/>
      <c r="AV587" s="280"/>
      <c r="AW587" s="280"/>
      <c r="AX587" s="280"/>
      <c r="AY587" s="280"/>
      <c r="AZ587" s="280"/>
      <c r="BA587" s="280"/>
      <c r="BB587" s="280"/>
      <c r="BC587" s="280"/>
      <c r="BD587" s="280"/>
      <c r="BE587" s="280"/>
      <c r="BF587" s="280"/>
      <c r="BG587" s="280"/>
      <c r="BH587" s="280"/>
      <c r="BI587" s="280"/>
      <c r="BJ587" s="280"/>
      <c r="BK587" s="280"/>
      <c r="BL587" s="280"/>
      <c r="BM587" s="280"/>
      <c r="BN587" s="280"/>
      <c r="BO587" s="280"/>
      <c r="BP587" s="280"/>
      <c r="BQ587" s="280"/>
      <c r="BR587" s="280"/>
      <c r="BS587" s="280"/>
      <c r="BT587" s="280"/>
      <c r="BU587" s="280"/>
      <c r="BV587" s="280"/>
    </row>
    <row r="588" spans="2:74" x14ac:dyDescent="0.2">
      <c r="B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c r="AA588" s="280"/>
      <c r="AB588" s="280"/>
      <c r="AC588" s="280"/>
      <c r="AD588" s="280"/>
      <c r="AE588" s="280"/>
      <c r="AF588" s="280"/>
      <c r="AG588" s="280"/>
      <c r="AH588" s="280"/>
      <c r="AI588" s="280"/>
      <c r="AJ588" s="280"/>
      <c r="AK588" s="280"/>
      <c r="AL588" s="280"/>
      <c r="AM588" s="280"/>
      <c r="AN588" s="280"/>
      <c r="AO588" s="280"/>
      <c r="AP588" s="280"/>
      <c r="AQ588" s="280"/>
      <c r="AR588" s="280"/>
      <c r="AS588" s="280"/>
      <c r="AT588" s="280"/>
      <c r="AU588" s="280"/>
      <c r="AV588" s="280"/>
      <c r="AW588" s="280"/>
      <c r="AX588" s="280"/>
      <c r="AY588" s="280"/>
      <c r="AZ588" s="280"/>
      <c r="BA588" s="280"/>
      <c r="BB588" s="280"/>
      <c r="BC588" s="280"/>
      <c r="BD588" s="280"/>
      <c r="BE588" s="280"/>
      <c r="BF588" s="280"/>
      <c r="BG588" s="280"/>
      <c r="BH588" s="280"/>
      <c r="BI588" s="280"/>
      <c r="BJ588" s="280"/>
      <c r="BK588" s="280"/>
      <c r="BL588" s="280"/>
      <c r="BM588" s="280"/>
      <c r="BN588" s="280"/>
      <c r="BO588" s="280"/>
      <c r="BP588" s="280"/>
      <c r="BQ588" s="280"/>
      <c r="BR588" s="280"/>
      <c r="BS588" s="280"/>
      <c r="BT588" s="280"/>
      <c r="BU588" s="280"/>
      <c r="BV588" s="280"/>
    </row>
    <row r="589" spans="2:74" x14ac:dyDescent="0.2">
      <c r="B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c r="AA589" s="280"/>
      <c r="AB589" s="280"/>
      <c r="AC589" s="280"/>
      <c r="AD589" s="280"/>
      <c r="AE589" s="280"/>
      <c r="AF589" s="280"/>
      <c r="AG589" s="280"/>
      <c r="AH589" s="280"/>
      <c r="AI589" s="280"/>
      <c r="AJ589" s="280"/>
      <c r="AK589" s="280"/>
      <c r="AL589" s="280"/>
      <c r="AM589" s="280"/>
      <c r="AN589" s="280"/>
      <c r="AO589" s="280"/>
      <c r="AP589" s="280"/>
      <c r="AQ589" s="280"/>
      <c r="AR589" s="280"/>
      <c r="AS589" s="280"/>
      <c r="AT589" s="280"/>
      <c r="AU589" s="280"/>
      <c r="AV589" s="280"/>
      <c r="AW589" s="280"/>
      <c r="AX589" s="280"/>
      <c r="AY589" s="280"/>
      <c r="AZ589" s="280"/>
      <c r="BA589" s="280"/>
      <c r="BB589" s="280"/>
      <c r="BC589" s="280"/>
      <c r="BD589" s="280"/>
      <c r="BE589" s="280"/>
      <c r="BF589" s="280"/>
      <c r="BG589" s="280"/>
      <c r="BH589" s="280"/>
      <c r="BI589" s="280"/>
      <c r="BJ589" s="280"/>
      <c r="BK589" s="280"/>
      <c r="BL589" s="280"/>
      <c r="BM589" s="280"/>
      <c r="BN589" s="280"/>
      <c r="BO589" s="280"/>
      <c r="BP589" s="280"/>
      <c r="BQ589" s="280"/>
      <c r="BR589" s="280"/>
      <c r="BS589" s="280"/>
      <c r="BT589" s="280"/>
      <c r="BU589" s="280"/>
      <c r="BV589" s="280"/>
    </row>
    <row r="590" spans="2:74" x14ac:dyDescent="0.2">
      <c r="B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c r="AA590" s="280"/>
      <c r="AB590" s="280"/>
      <c r="AC590" s="280"/>
      <c r="AD590" s="280"/>
      <c r="AE590" s="280"/>
      <c r="AF590" s="280"/>
      <c r="AG590" s="280"/>
      <c r="AH590" s="280"/>
      <c r="AI590" s="280"/>
      <c r="AJ590" s="280"/>
      <c r="AK590" s="280"/>
      <c r="AL590" s="280"/>
      <c r="AM590" s="280"/>
      <c r="AN590" s="280"/>
      <c r="AO590" s="280"/>
      <c r="AP590" s="280"/>
      <c r="AQ590" s="280"/>
      <c r="AR590" s="280"/>
      <c r="AS590" s="280"/>
      <c r="AT590" s="280"/>
      <c r="AU590" s="280"/>
      <c r="AV590" s="280"/>
      <c r="AW590" s="280"/>
      <c r="AX590" s="280"/>
      <c r="AY590" s="280"/>
      <c r="AZ590" s="280"/>
      <c r="BA590" s="280"/>
      <c r="BB590" s="280"/>
      <c r="BC590" s="280"/>
      <c r="BD590" s="280"/>
      <c r="BE590" s="280"/>
      <c r="BF590" s="280"/>
      <c r="BG590" s="280"/>
      <c r="BH590" s="280"/>
      <c r="BI590" s="280"/>
      <c r="BJ590" s="280"/>
      <c r="BK590" s="280"/>
      <c r="BL590" s="280"/>
      <c r="BM590" s="280"/>
      <c r="BN590" s="280"/>
      <c r="BO590" s="280"/>
      <c r="BP590" s="280"/>
      <c r="BQ590" s="280"/>
      <c r="BR590" s="280"/>
      <c r="BS590" s="280"/>
      <c r="BT590" s="280"/>
      <c r="BU590" s="280"/>
      <c r="BV590" s="280"/>
    </row>
    <row r="591" spans="2:74" x14ac:dyDescent="0.2">
      <c r="B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c r="AA591" s="280"/>
      <c r="AB591" s="280"/>
      <c r="AC591" s="280"/>
      <c r="AD591" s="280"/>
      <c r="AE591" s="280"/>
      <c r="AF591" s="280"/>
      <c r="AG591" s="280"/>
      <c r="AH591" s="280"/>
      <c r="AI591" s="280"/>
      <c r="AJ591" s="280"/>
      <c r="AK591" s="280"/>
      <c r="AL591" s="280"/>
      <c r="AM591" s="280"/>
      <c r="AN591" s="280"/>
      <c r="AO591" s="280"/>
      <c r="AP591" s="280"/>
      <c r="AQ591" s="280"/>
      <c r="AR591" s="280"/>
      <c r="AS591" s="280"/>
      <c r="AT591" s="280"/>
      <c r="AU591" s="280"/>
      <c r="AV591" s="280"/>
      <c r="AW591" s="280"/>
      <c r="AX591" s="280"/>
      <c r="AY591" s="280"/>
      <c r="AZ591" s="280"/>
      <c r="BA591" s="280"/>
      <c r="BB591" s="280"/>
      <c r="BC591" s="280"/>
      <c r="BD591" s="280"/>
      <c r="BE591" s="280"/>
      <c r="BF591" s="280"/>
      <c r="BG591" s="280"/>
      <c r="BH591" s="280"/>
      <c r="BI591" s="280"/>
      <c r="BJ591" s="280"/>
      <c r="BK591" s="280"/>
      <c r="BL591" s="280"/>
      <c r="BM591" s="280"/>
      <c r="BN591" s="280"/>
      <c r="BO591" s="280"/>
      <c r="BP591" s="280"/>
      <c r="BQ591" s="280"/>
      <c r="BR591" s="280"/>
      <c r="BS591" s="280"/>
      <c r="BT591" s="280"/>
      <c r="BU591" s="280"/>
      <c r="BV591" s="280"/>
    </row>
    <row r="592" spans="2:74" x14ac:dyDescent="0.2">
      <c r="B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0"/>
      <c r="AY592" s="280"/>
      <c r="AZ592" s="280"/>
      <c r="BA592" s="280"/>
      <c r="BB592" s="280"/>
      <c r="BC592" s="280"/>
      <c r="BD592" s="280"/>
      <c r="BE592" s="280"/>
      <c r="BF592" s="280"/>
      <c r="BG592" s="280"/>
      <c r="BH592" s="280"/>
      <c r="BI592" s="280"/>
      <c r="BJ592" s="280"/>
      <c r="BK592" s="280"/>
      <c r="BL592" s="280"/>
      <c r="BM592" s="280"/>
      <c r="BN592" s="280"/>
      <c r="BO592" s="280"/>
      <c r="BP592" s="280"/>
      <c r="BQ592" s="280"/>
      <c r="BR592" s="280"/>
      <c r="BS592" s="280"/>
      <c r="BT592" s="280"/>
      <c r="BU592" s="280"/>
      <c r="BV592" s="280"/>
    </row>
    <row r="593" spans="2:74" x14ac:dyDescent="0.2">
      <c r="B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c r="AA593" s="280"/>
      <c r="AB593" s="280"/>
      <c r="AC593" s="280"/>
      <c r="AD593" s="280"/>
      <c r="AE593" s="280"/>
      <c r="AF593" s="280"/>
      <c r="AG593" s="280"/>
      <c r="AH593" s="280"/>
      <c r="AI593" s="280"/>
      <c r="AJ593" s="280"/>
      <c r="AK593" s="280"/>
      <c r="AL593" s="280"/>
      <c r="AM593" s="280"/>
      <c r="AN593" s="280"/>
      <c r="AO593" s="280"/>
      <c r="AP593" s="280"/>
      <c r="AQ593" s="280"/>
      <c r="AR593" s="280"/>
      <c r="AS593" s="280"/>
      <c r="AT593" s="280"/>
      <c r="AU593" s="280"/>
      <c r="AV593" s="280"/>
      <c r="AW593" s="280"/>
      <c r="AX593" s="280"/>
      <c r="AY593" s="280"/>
      <c r="AZ593" s="280"/>
      <c r="BA593" s="280"/>
      <c r="BB593" s="280"/>
      <c r="BC593" s="280"/>
      <c r="BD593" s="280"/>
      <c r="BE593" s="280"/>
      <c r="BF593" s="280"/>
      <c r="BG593" s="280"/>
      <c r="BH593" s="280"/>
      <c r="BI593" s="280"/>
      <c r="BJ593" s="280"/>
      <c r="BK593" s="280"/>
      <c r="BL593" s="280"/>
      <c r="BM593" s="280"/>
      <c r="BN593" s="280"/>
      <c r="BO593" s="280"/>
      <c r="BP593" s="280"/>
      <c r="BQ593" s="280"/>
      <c r="BR593" s="280"/>
      <c r="BS593" s="280"/>
      <c r="BT593" s="280"/>
      <c r="BU593" s="280"/>
      <c r="BV593" s="280"/>
    </row>
    <row r="594" spans="2:74" x14ac:dyDescent="0.2">
      <c r="B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c r="AA594" s="280"/>
      <c r="AB594" s="280"/>
      <c r="AC594" s="280"/>
      <c r="AD594" s="280"/>
      <c r="AE594" s="280"/>
      <c r="AF594" s="280"/>
      <c r="AG594" s="280"/>
      <c r="AH594" s="280"/>
      <c r="AI594" s="280"/>
      <c r="AJ594" s="280"/>
      <c r="AK594" s="280"/>
      <c r="AL594" s="280"/>
      <c r="AM594" s="280"/>
      <c r="AN594" s="280"/>
      <c r="AO594" s="280"/>
      <c r="AP594" s="280"/>
      <c r="AQ594" s="280"/>
      <c r="AR594" s="280"/>
      <c r="AS594" s="280"/>
      <c r="AT594" s="280"/>
      <c r="AU594" s="280"/>
      <c r="AV594" s="280"/>
      <c r="AW594" s="280"/>
      <c r="AX594" s="280"/>
      <c r="AY594" s="280"/>
      <c r="AZ594" s="280"/>
      <c r="BA594" s="280"/>
      <c r="BB594" s="280"/>
      <c r="BC594" s="280"/>
      <c r="BD594" s="280"/>
      <c r="BE594" s="280"/>
      <c r="BF594" s="280"/>
      <c r="BG594" s="280"/>
      <c r="BH594" s="280"/>
      <c r="BI594" s="280"/>
      <c r="BJ594" s="280"/>
      <c r="BK594" s="280"/>
      <c r="BL594" s="280"/>
      <c r="BM594" s="280"/>
      <c r="BN594" s="280"/>
      <c r="BO594" s="280"/>
      <c r="BP594" s="280"/>
      <c r="BQ594" s="280"/>
      <c r="BR594" s="280"/>
      <c r="BS594" s="280"/>
      <c r="BT594" s="280"/>
      <c r="BU594" s="280"/>
      <c r="BV594" s="280"/>
    </row>
    <row r="595" spans="2:74" x14ac:dyDescent="0.2">
      <c r="B595" s="280"/>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c r="Z595" s="280"/>
      <c r="AA595" s="280"/>
      <c r="AB595" s="280"/>
      <c r="AC595" s="280"/>
      <c r="AD595" s="280"/>
      <c r="AE595" s="280"/>
      <c r="AF595" s="280"/>
      <c r="AG595" s="280"/>
      <c r="AH595" s="280"/>
      <c r="AI595" s="280"/>
      <c r="AJ595" s="280"/>
      <c r="AK595" s="280"/>
      <c r="AL595" s="280"/>
      <c r="AM595" s="280"/>
      <c r="AN595" s="280"/>
      <c r="AO595" s="280"/>
      <c r="AP595" s="280"/>
      <c r="AQ595" s="280"/>
      <c r="AR595" s="280"/>
      <c r="AS595" s="280"/>
      <c r="AT595" s="280"/>
      <c r="AU595" s="280"/>
      <c r="AV595" s="280"/>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row>
    <row r="596" spans="2:74" x14ac:dyDescent="0.2">
      <c r="B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c r="AA596" s="280"/>
      <c r="AB596" s="280"/>
      <c r="AC596" s="280"/>
      <c r="AD596" s="280"/>
      <c r="AE596" s="280"/>
      <c r="AF596" s="280"/>
      <c r="AG596" s="280"/>
      <c r="AH596" s="280"/>
      <c r="AI596" s="280"/>
      <c r="AJ596" s="280"/>
      <c r="AK596" s="280"/>
      <c r="AL596" s="280"/>
      <c r="AM596" s="280"/>
      <c r="AN596" s="280"/>
      <c r="AO596" s="280"/>
      <c r="AP596" s="280"/>
      <c r="AQ596" s="280"/>
      <c r="AR596" s="280"/>
      <c r="AS596" s="280"/>
      <c r="AT596" s="280"/>
      <c r="AU596" s="280"/>
      <c r="AV596" s="280"/>
      <c r="AW596" s="280"/>
      <c r="AX596" s="280"/>
      <c r="AY596" s="280"/>
      <c r="AZ596" s="280"/>
      <c r="BA596" s="280"/>
      <c r="BB596" s="280"/>
      <c r="BC596" s="280"/>
      <c r="BD596" s="280"/>
      <c r="BE596" s="280"/>
      <c r="BF596" s="280"/>
      <c r="BG596" s="280"/>
      <c r="BH596" s="280"/>
      <c r="BI596" s="280"/>
      <c r="BJ596" s="280"/>
      <c r="BK596" s="280"/>
      <c r="BL596" s="280"/>
      <c r="BM596" s="280"/>
      <c r="BN596" s="280"/>
      <c r="BO596" s="280"/>
      <c r="BP596" s="280"/>
      <c r="BQ596" s="280"/>
      <c r="BR596" s="280"/>
      <c r="BS596" s="280"/>
      <c r="BT596" s="280"/>
      <c r="BU596" s="280"/>
      <c r="BV596" s="280"/>
    </row>
    <row r="597" spans="2:74" x14ac:dyDescent="0.2">
      <c r="B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c r="Z597" s="280"/>
      <c r="AA597" s="280"/>
      <c r="AB597" s="280"/>
      <c r="AC597" s="280"/>
      <c r="AD597" s="280"/>
      <c r="AE597" s="280"/>
      <c r="AF597" s="280"/>
      <c r="AG597" s="280"/>
      <c r="AH597" s="280"/>
      <c r="AI597" s="280"/>
      <c r="AJ597" s="280"/>
      <c r="AK597" s="280"/>
      <c r="AL597" s="280"/>
      <c r="AM597" s="280"/>
      <c r="AN597" s="280"/>
      <c r="AO597" s="280"/>
      <c r="AP597" s="280"/>
      <c r="AQ597" s="280"/>
      <c r="AR597" s="280"/>
      <c r="AS597" s="280"/>
      <c r="AT597" s="280"/>
      <c r="AU597" s="280"/>
      <c r="AV597" s="280"/>
      <c r="AW597" s="280"/>
      <c r="AX597" s="280"/>
      <c r="AY597" s="280"/>
      <c r="AZ597" s="280"/>
      <c r="BA597" s="280"/>
      <c r="BB597" s="280"/>
      <c r="BC597" s="280"/>
      <c r="BD597" s="280"/>
      <c r="BE597" s="280"/>
      <c r="BF597" s="280"/>
      <c r="BG597" s="280"/>
      <c r="BH597" s="280"/>
      <c r="BI597" s="280"/>
      <c r="BJ597" s="280"/>
      <c r="BK597" s="280"/>
      <c r="BL597" s="280"/>
      <c r="BM597" s="280"/>
      <c r="BN597" s="280"/>
      <c r="BO597" s="280"/>
      <c r="BP597" s="280"/>
      <c r="BQ597" s="280"/>
      <c r="BR597" s="280"/>
      <c r="BS597" s="280"/>
      <c r="BT597" s="280"/>
      <c r="BU597" s="280"/>
      <c r="BV597" s="280"/>
    </row>
    <row r="598" spans="2:74" x14ac:dyDescent="0.2">
      <c r="B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c r="AA598" s="280"/>
      <c r="AB598" s="280"/>
      <c r="AC598" s="280"/>
      <c r="AD598" s="280"/>
      <c r="AE598" s="280"/>
      <c r="AF598" s="280"/>
      <c r="AG598" s="280"/>
      <c r="AH598" s="280"/>
      <c r="AI598" s="280"/>
      <c r="AJ598" s="280"/>
      <c r="AK598" s="280"/>
      <c r="AL598" s="280"/>
      <c r="AM598" s="280"/>
      <c r="AN598" s="280"/>
      <c r="AO598" s="280"/>
      <c r="AP598" s="280"/>
      <c r="AQ598" s="280"/>
      <c r="AR598" s="280"/>
      <c r="AS598" s="280"/>
      <c r="AT598" s="280"/>
      <c r="AU598" s="280"/>
      <c r="AV598" s="280"/>
      <c r="AW598" s="280"/>
      <c r="AX598" s="280"/>
      <c r="AY598" s="280"/>
      <c r="AZ598" s="280"/>
      <c r="BA598" s="280"/>
      <c r="BB598" s="280"/>
      <c r="BC598" s="280"/>
      <c r="BD598" s="280"/>
      <c r="BE598" s="280"/>
      <c r="BF598" s="280"/>
      <c r="BG598" s="280"/>
      <c r="BH598" s="280"/>
      <c r="BI598" s="280"/>
      <c r="BJ598" s="280"/>
      <c r="BK598" s="280"/>
      <c r="BL598" s="280"/>
      <c r="BM598" s="280"/>
      <c r="BN598" s="280"/>
      <c r="BO598" s="280"/>
      <c r="BP598" s="280"/>
      <c r="BQ598" s="280"/>
      <c r="BR598" s="280"/>
      <c r="BS598" s="280"/>
      <c r="BT598" s="280"/>
      <c r="BU598" s="280"/>
      <c r="BV598" s="280"/>
    </row>
    <row r="599" spans="2:74" x14ac:dyDescent="0.2">
      <c r="B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0"/>
      <c r="AL599" s="280"/>
      <c r="AM599" s="280"/>
      <c r="AN599" s="280"/>
      <c r="AO599" s="280"/>
      <c r="AP599" s="280"/>
      <c r="AQ599" s="280"/>
      <c r="AR599" s="280"/>
      <c r="AS599" s="280"/>
      <c r="AT599" s="280"/>
      <c r="AU599" s="280"/>
      <c r="AV599" s="280"/>
      <c r="AW599" s="280"/>
      <c r="AX599" s="280"/>
      <c r="AY599" s="280"/>
      <c r="AZ599" s="280"/>
      <c r="BA599" s="280"/>
      <c r="BB599" s="280"/>
      <c r="BC599" s="280"/>
      <c r="BD599" s="280"/>
      <c r="BE599" s="280"/>
      <c r="BF599" s="280"/>
      <c r="BG599" s="280"/>
      <c r="BH599" s="280"/>
      <c r="BI599" s="280"/>
      <c r="BJ599" s="280"/>
      <c r="BK599" s="280"/>
      <c r="BL599" s="280"/>
      <c r="BM599" s="280"/>
      <c r="BN599" s="280"/>
      <c r="BO599" s="280"/>
      <c r="BP599" s="280"/>
      <c r="BQ599" s="280"/>
      <c r="BR599" s="280"/>
      <c r="BS599" s="280"/>
      <c r="BT599" s="280"/>
      <c r="BU599" s="280"/>
      <c r="BV599" s="280"/>
    </row>
    <row r="600" spans="2:74" x14ac:dyDescent="0.2">
      <c r="B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c r="AA600" s="280"/>
      <c r="AB600" s="280"/>
      <c r="AC600" s="280"/>
      <c r="AD600" s="280"/>
      <c r="AE600" s="280"/>
      <c r="AF600" s="280"/>
      <c r="AG600" s="280"/>
      <c r="AH600" s="280"/>
      <c r="AI600" s="280"/>
      <c r="AJ600" s="280"/>
      <c r="AK600" s="280"/>
      <c r="AL600" s="280"/>
      <c r="AM600" s="280"/>
      <c r="AN600" s="280"/>
      <c r="AO600" s="280"/>
      <c r="AP600" s="280"/>
      <c r="AQ600" s="280"/>
      <c r="AR600" s="280"/>
      <c r="AS600" s="280"/>
      <c r="AT600" s="280"/>
      <c r="AU600" s="280"/>
      <c r="AV600" s="280"/>
      <c r="AW600" s="280"/>
      <c r="AX600" s="280"/>
      <c r="AY600" s="280"/>
      <c r="AZ600" s="280"/>
      <c r="BA600" s="280"/>
      <c r="BB600" s="280"/>
      <c r="BC600" s="280"/>
      <c r="BD600" s="280"/>
      <c r="BE600" s="280"/>
      <c r="BF600" s="280"/>
      <c r="BG600" s="280"/>
      <c r="BH600" s="280"/>
      <c r="BI600" s="280"/>
      <c r="BJ600" s="280"/>
      <c r="BK600" s="280"/>
      <c r="BL600" s="280"/>
      <c r="BM600" s="280"/>
      <c r="BN600" s="280"/>
      <c r="BO600" s="280"/>
      <c r="BP600" s="280"/>
      <c r="BQ600" s="280"/>
      <c r="BR600" s="280"/>
      <c r="BS600" s="280"/>
      <c r="BT600" s="280"/>
      <c r="BU600" s="280"/>
      <c r="BV600" s="280"/>
    </row>
    <row r="601" spans="2:74" x14ac:dyDescent="0.2">
      <c r="B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c r="AA601" s="280"/>
      <c r="AB601" s="280"/>
      <c r="AC601" s="280"/>
      <c r="AD601" s="280"/>
      <c r="AE601" s="280"/>
      <c r="AF601" s="280"/>
      <c r="AG601" s="280"/>
      <c r="AH601" s="280"/>
      <c r="AI601" s="280"/>
      <c r="AJ601" s="280"/>
      <c r="AK601" s="280"/>
      <c r="AL601" s="280"/>
      <c r="AM601" s="280"/>
      <c r="AN601" s="280"/>
      <c r="AO601" s="280"/>
      <c r="AP601" s="280"/>
      <c r="AQ601" s="280"/>
      <c r="AR601" s="280"/>
      <c r="AS601" s="280"/>
      <c r="AT601" s="280"/>
      <c r="AU601" s="280"/>
      <c r="AV601" s="280"/>
      <c r="AW601" s="280"/>
      <c r="AX601" s="280"/>
      <c r="AY601" s="280"/>
      <c r="AZ601" s="280"/>
      <c r="BA601" s="280"/>
      <c r="BB601" s="280"/>
      <c r="BC601" s="280"/>
      <c r="BD601" s="280"/>
      <c r="BE601" s="280"/>
      <c r="BF601" s="280"/>
      <c r="BG601" s="280"/>
      <c r="BH601" s="280"/>
      <c r="BI601" s="280"/>
      <c r="BJ601" s="280"/>
      <c r="BK601" s="280"/>
      <c r="BL601" s="280"/>
      <c r="BM601" s="280"/>
      <c r="BN601" s="280"/>
      <c r="BO601" s="280"/>
      <c r="BP601" s="280"/>
      <c r="BQ601" s="280"/>
      <c r="BR601" s="280"/>
      <c r="BS601" s="280"/>
      <c r="BT601" s="280"/>
      <c r="BU601" s="280"/>
      <c r="BV601" s="280"/>
    </row>
    <row r="602" spans="2:74" x14ac:dyDescent="0.2">
      <c r="B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c r="AA602" s="280"/>
      <c r="AB602" s="280"/>
      <c r="AC602" s="280"/>
      <c r="AD602" s="280"/>
      <c r="AE602" s="280"/>
      <c r="AF602" s="280"/>
      <c r="AG602" s="280"/>
      <c r="AH602" s="280"/>
      <c r="AI602" s="280"/>
      <c r="AJ602" s="280"/>
      <c r="AK602" s="280"/>
      <c r="AL602" s="280"/>
      <c r="AM602" s="280"/>
      <c r="AN602" s="280"/>
      <c r="AO602" s="280"/>
      <c r="AP602" s="280"/>
      <c r="AQ602" s="280"/>
      <c r="AR602" s="280"/>
      <c r="AS602" s="280"/>
      <c r="AT602" s="280"/>
      <c r="AU602" s="280"/>
      <c r="AV602" s="280"/>
      <c r="AW602" s="280"/>
      <c r="AX602" s="280"/>
      <c r="AY602" s="280"/>
      <c r="AZ602" s="280"/>
      <c r="BA602" s="280"/>
      <c r="BB602" s="280"/>
      <c r="BC602" s="280"/>
      <c r="BD602" s="280"/>
      <c r="BE602" s="280"/>
      <c r="BF602" s="280"/>
      <c r="BG602" s="280"/>
      <c r="BH602" s="280"/>
      <c r="BI602" s="280"/>
      <c r="BJ602" s="280"/>
      <c r="BK602" s="280"/>
      <c r="BL602" s="280"/>
      <c r="BM602" s="280"/>
      <c r="BN602" s="280"/>
      <c r="BO602" s="280"/>
      <c r="BP602" s="280"/>
      <c r="BQ602" s="280"/>
      <c r="BR602" s="280"/>
      <c r="BS602" s="280"/>
      <c r="BT602" s="280"/>
      <c r="BU602" s="280"/>
      <c r="BV602" s="280"/>
    </row>
    <row r="603" spans="2:74" x14ac:dyDescent="0.2">
      <c r="B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c r="AA603" s="280"/>
      <c r="AB603" s="280"/>
      <c r="AC603" s="280"/>
      <c r="AD603" s="280"/>
      <c r="AE603" s="280"/>
      <c r="AF603" s="280"/>
      <c r="AG603" s="280"/>
      <c r="AH603" s="280"/>
      <c r="AI603" s="280"/>
      <c r="AJ603" s="280"/>
      <c r="AK603" s="280"/>
      <c r="AL603" s="280"/>
      <c r="AM603" s="280"/>
      <c r="AN603" s="280"/>
      <c r="AO603" s="280"/>
      <c r="AP603" s="280"/>
      <c r="AQ603" s="280"/>
      <c r="AR603" s="280"/>
      <c r="AS603" s="280"/>
      <c r="AT603" s="280"/>
      <c r="AU603" s="280"/>
      <c r="AV603" s="280"/>
      <c r="AW603" s="280"/>
      <c r="AX603" s="280"/>
      <c r="AY603" s="280"/>
      <c r="AZ603" s="280"/>
      <c r="BA603" s="280"/>
      <c r="BB603" s="280"/>
      <c r="BC603" s="280"/>
      <c r="BD603" s="280"/>
      <c r="BE603" s="280"/>
      <c r="BF603" s="280"/>
      <c r="BG603" s="280"/>
      <c r="BH603" s="280"/>
      <c r="BI603" s="280"/>
      <c r="BJ603" s="280"/>
      <c r="BK603" s="280"/>
      <c r="BL603" s="280"/>
      <c r="BM603" s="280"/>
      <c r="BN603" s="280"/>
      <c r="BO603" s="280"/>
      <c r="BP603" s="280"/>
      <c r="BQ603" s="280"/>
      <c r="BR603" s="280"/>
      <c r="BS603" s="280"/>
      <c r="BT603" s="280"/>
      <c r="BU603" s="280"/>
      <c r="BV603" s="280"/>
    </row>
    <row r="604" spans="2:74" x14ac:dyDescent="0.2">
      <c r="B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c r="AA604" s="280"/>
      <c r="AB604" s="280"/>
      <c r="AC604" s="280"/>
      <c r="AD604" s="280"/>
      <c r="AE604" s="280"/>
      <c r="AF604" s="280"/>
      <c r="AG604" s="280"/>
      <c r="AH604" s="280"/>
      <c r="AI604" s="280"/>
      <c r="AJ604" s="280"/>
      <c r="AK604" s="280"/>
      <c r="AL604" s="280"/>
      <c r="AM604" s="280"/>
      <c r="AN604" s="280"/>
      <c r="AO604" s="280"/>
      <c r="AP604" s="280"/>
      <c r="AQ604" s="280"/>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c r="BO604" s="280"/>
      <c r="BP604" s="280"/>
      <c r="BQ604" s="280"/>
      <c r="BR604" s="280"/>
      <c r="BS604" s="280"/>
      <c r="BT604" s="280"/>
      <c r="BU604" s="280"/>
      <c r="BV604" s="280"/>
    </row>
    <row r="605" spans="2:74" x14ac:dyDescent="0.2">
      <c r="B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c r="AA605" s="280"/>
      <c r="AB605" s="280"/>
      <c r="AC605" s="280"/>
      <c r="AD605" s="280"/>
      <c r="AE605" s="280"/>
      <c r="AF605" s="280"/>
      <c r="AG605" s="280"/>
      <c r="AH605" s="280"/>
      <c r="AI605" s="280"/>
      <c r="AJ605" s="280"/>
      <c r="AK605" s="280"/>
      <c r="AL605" s="280"/>
      <c r="AM605" s="280"/>
      <c r="AN605" s="280"/>
      <c r="AO605" s="280"/>
      <c r="AP605" s="280"/>
      <c r="AQ605" s="280"/>
      <c r="AR605" s="280"/>
      <c r="AS605" s="280"/>
      <c r="AT605" s="280"/>
      <c r="AU605" s="280"/>
      <c r="AV605" s="280"/>
      <c r="AW605" s="280"/>
      <c r="AX605" s="280"/>
      <c r="AY605" s="280"/>
      <c r="AZ605" s="280"/>
      <c r="BA605" s="280"/>
      <c r="BB605" s="280"/>
      <c r="BC605" s="280"/>
      <c r="BD605" s="280"/>
      <c r="BE605" s="280"/>
      <c r="BF605" s="280"/>
      <c r="BG605" s="280"/>
      <c r="BH605" s="280"/>
      <c r="BI605" s="280"/>
      <c r="BJ605" s="280"/>
      <c r="BK605" s="280"/>
      <c r="BL605" s="280"/>
      <c r="BM605" s="280"/>
      <c r="BN605" s="280"/>
      <c r="BO605" s="280"/>
      <c r="BP605" s="280"/>
      <c r="BQ605" s="280"/>
      <c r="BR605" s="280"/>
      <c r="BS605" s="280"/>
      <c r="BT605" s="280"/>
      <c r="BU605" s="280"/>
      <c r="BV605" s="280"/>
    </row>
    <row r="606" spans="2:74" x14ac:dyDescent="0.2">
      <c r="B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c r="AA606" s="280"/>
      <c r="AB606" s="280"/>
      <c r="AC606" s="280"/>
      <c r="AD606" s="280"/>
      <c r="AE606" s="280"/>
      <c r="AF606" s="280"/>
      <c r="AG606" s="280"/>
      <c r="AH606" s="280"/>
      <c r="AI606" s="280"/>
      <c r="AJ606" s="280"/>
      <c r="AK606" s="280"/>
      <c r="AL606" s="280"/>
      <c r="AM606" s="280"/>
      <c r="AN606" s="280"/>
      <c r="AO606" s="280"/>
      <c r="AP606" s="280"/>
      <c r="AQ606" s="280"/>
      <c r="AR606" s="280"/>
      <c r="AS606" s="280"/>
      <c r="AT606" s="280"/>
      <c r="AU606" s="280"/>
      <c r="AV606" s="280"/>
      <c r="AW606" s="280"/>
      <c r="AX606" s="280"/>
      <c r="AY606" s="280"/>
      <c r="AZ606" s="280"/>
      <c r="BA606" s="280"/>
      <c r="BB606" s="280"/>
      <c r="BC606" s="280"/>
      <c r="BD606" s="280"/>
      <c r="BE606" s="280"/>
      <c r="BF606" s="280"/>
      <c r="BG606" s="280"/>
      <c r="BH606" s="280"/>
      <c r="BI606" s="280"/>
      <c r="BJ606" s="280"/>
      <c r="BK606" s="280"/>
      <c r="BL606" s="280"/>
      <c r="BM606" s="280"/>
      <c r="BN606" s="280"/>
      <c r="BO606" s="280"/>
      <c r="BP606" s="280"/>
      <c r="BQ606" s="280"/>
      <c r="BR606" s="280"/>
      <c r="BS606" s="280"/>
      <c r="BT606" s="280"/>
      <c r="BU606" s="280"/>
      <c r="BV606" s="280"/>
    </row>
    <row r="607" spans="2:74" x14ac:dyDescent="0.2">
      <c r="B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c r="AA607" s="280"/>
      <c r="AB607" s="280"/>
      <c r="AC607" s="280"/>
      <c r="AD607" s="280"/>
      <c r="AE607" s="280"/>
      <c r="AF607" s="280"/>
      <c r="AG607" s="280"/>
      <c r="AH607" s="280"/>
      <c r="AI607" s="280"/>
      <c r="AJ607" s="280"/>
      <c r="AK607" s="280"/>
      <c r="AL607" s="280"/>
      <c r="AM607" s="280"/>
      <c r="AN607" s="280"/>
      <c r="AO607" s="280"/>
      <c r="AP607" s="280"/>
      <c r="AQ607" s="280"/>
      <c r="AR607" s="280"/>
      <c r="AS607" s="280"/>
      <c r="AT607" s="280"/>
      <c r="AU607" s="280"/>
      <c r="AV607" s="280"/>
      <c r="AW607" s="280"/>
      <c r="AX607" s="280"/>
      <c r="AY607" s="280"/>
      <c r="AZ607" s="280"/>
      <c r="BA607" s="280"/>
      <c r="BB607" s="280"/>
      <c r="BC607" s="280"/>
      <c r="BD607" s="280"/>
      <c r="BE607" s="280"/>
      <c r="BF607" s="280"/>
      <c r="BG607" s="280"/>
      <c r="BH607" s="280"/>
      <c r="BI607" s="280"/>
      <c r="BJ607" s="280"/>
      <c r="BK607" s="280"/>
      <c r="BL607" s="280"/>
      <c r="BM607" s="280"/>
      <c r="BN607" s="280"/>
      <c r="BO607" s="280"/>
      <c r="BP607" s="280"/>
      <c r="BQ607" s="280"/>
      <c r="BR607" s="280"/>
      <c r="BS607" s="280"/>
      <c r="BT607" s="280"/>
      <c r="BU607" s="280"/>
      <c r="BV607" s="280"/>
    </row>
    <row r="608" spans="2:74" x14ac:dyDescent="0.2">
      <c r="B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c r="AA608" s="280"/>
      <c r="AB608" s="280"/>
      <c r="AC608" s="280"/>
      <c r="AD608" s="280"/>
      <c r="AE608" s="280"/>
      <c r="AF608" s="280"/>
      <c r="AG608" s="280"/>
      <c r="AH608" s="280"/>
      <c r="AI608" s="280"/>
      <c r="AJ608" s="280"/>
      <c r="AK608" s="280"/>
      <c r="AL608" s="280"/>
      <c r="AM608" s="280"/>
      <c r="AN608" s="280"/>
      <c r="AO608" s="280"/>
      <c r="AP608" s="280"/>
      <c r="AQ608" s="280"/>
      <c r="AR608" s="280"/>
      <c r="AS608" s="280"/>
      <c r="AT608" s="280"/>
      <c r="AU608" s="280"/>
      <c r="AV608" s="280"/>
      <c r="AW608" s="280"/>
      <c r="AX608" s="280"/>
      <c r="AY608" s="280"/>
      <c r="AZ608" s="280"/>
      <c r="BA608" s="280"/>
      <c r="BB608" s="280"/>
      <c r="BC608" s="280"/>
      <c r="BD608" s="280"/>
      <c r="BE608" s="280"/>
      <c r="BF608" s="280"/>
      <c r="BG608" s="280"/>
      <c r="BH608" s="280"/>
      <c r="BI608" s="280"/>
      <c r="BJ608" s="280"/>
      <c r="BK608" s="280"/>
      <c r="BL608" s="280"/>
      <c r="BM608" s="280"/>
      <c r="BN608" s="280"/>
      <c r="BO608" s="280"/>
      <c r="BP608" s="280"/>
      <c r="BQ608" s="280"/>
      <c r="BR608" s="280"/>
      <c r="BS608" s="280"/>
      <c r="BT608" s="280"/>
      <c r="BU608" s="280"/>
      <c r="BV608" s="280"/>
    </row>
    <row r="609" spans="2:74" x14ac:dyDescent="0.2">
      <c r="B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c r="AA609" s="280"/>
      <c r="AB609" s="280"/>
      <c r="AC609" s="280"/>
      <c r="AD609" s="280"/>
      <c r="AE609" s="280"/>
      <c r="AF609" s="280"/>
      <c r="AG609" s="280"/>
      <c r="AH609" s="280"/>
      <c r="AI609" s="280"/>
      <c r="AJ609" s="280"/>
      <c r="AK609" s="280"/>
      <c r="AL609" s="280"/>
      <c r="AM609" s="280"/>
      <c r="AN609" s="280"/>
      <c r="AO609" s="280"/>
      <c r="AP609" s="280"/>
      <c r="AQ609" s="280"/>
      <c r="AR609" s="280"/>
      <c r="AS609" s="280"/>
      <c r="AT609" s="280"/>
      <c r="AU609" s="280"/>
      <c r="AV609" s="280"/>
      <c r="AW609" s="280"/>
      <c r="AX609" s="280"/>
      <c r="AY609" s="280"/>
      <c r="AZ609" s="280"/>
      <c r="BA609" s="280"/>
      <c r="BB609" s="280"/>
      <c r="BC609" s="280"/>
      <c r="BD609" s="280"/>
      <c r="BE609" s="280"/>
      <c r="BF609" s="280"/>
      <c r="BG609" s="280"/>
      <c r="BH609" s="280"/>
      <c r="BI609" s="280"/>
      <c r="BJ609" s="280"/>
      <c r="BK609" s="280"/>
      <c r="BL609" s="280"/>
      <c r="BM609" s="280"/>
      <c r="BN609" s="280"/>
      <c r="BO609" s="280"/>
      <c r="BP609" s="280"/>
      <c r="BQ609" s="280"/>
      <c r="BR609" s="280"/>
      <c r="BS609" s="280"/>
      <c r="BT609" s="280"/>
      <c r="BU609" s="280"/>
      <c r="BV609" s="280"/>
    </row>
    <row r="610" spans="2:74" x14ac:dyDescent="0.2">
      <c r="B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c r="AA610" s="280"/>
      <c r="AB610" s="280"/>
      <c r="AC610" s="280"/>
      <c r="AD610" s="280"/>
      <c r="AE610" s="280"/>
      <c r="AF610" s="280"/>
      <c r="AG610" s="280"/>
      <c r="AH610" s="280"/>
      <c r="AI610" s="280"/>
      <c r="AJ610" s="280"/>
      <c r="AK610" s="280"/>
      <c r="AL610" s="280"/>
      <c r="AM610" s="280"/>
      <c r="AN610" s="280"/>
      <c r="AO610" s="280"/>
      <c r="AP610" s="280"/>
      <c r="AQ610" s="280"/>
      <c r="AR610" s="280"/>
      <c r="AS610" s="280"/>
      <c r="AT610" s="280"/>
      <c r="AU610" s="280"/>
      <c r="AV610" s="280"/>
      <c r="AW610" s="280"/>
      <c r="AX610" s="280"/>
      <c r="AY610" s="280"/>
      <c r="AZ610" s="280"/>
      <c r="BA610" s="280"/>
      <c r="BB610" s="280"/>
      <c r="BC610" s="280"/>
      <c r="BD610" s="280"/>
      <c r="BE610" s="280"/>
      <c r="BF610" s="280"/>
      <c r="BG610" s="280"/>
      <c r="BH610" s="280"/>
      <c r="BI610" s="280"/>
      <c r="BJ610" s="280"/>
      <c r="BK610" s="280"/>
      <c r="BL610" s="280"/>
      <c r="BM610" s="280"/>
      <c r="BN610" s="280"/>
      <c r="BO610" s="280"/>
      <c r="BP610" s="280"/>
      <c r="BQ610" s="280"/>
      <c r="BR610" s="280"/>
      <c r="BS610" s="280"/>
      <c r="BT610" s="280"/>
      <c r="BU610" s="280"/>
      <c r="BV610" s="280"/>
    </row>
    <row r="611" spans="2:74" x14ac:dyDescent="0.2">
      <c r="B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c r="AA611" s="280"/>
      <c r="AB611" s="280"/>
      <c r="AC611" s="280"/>
      <c r="AD611" s="280"/>
      <c r="AE611" s="280"/>
      <c r="AF611" s="280"/>
      <c r="AG611" s="280"/>
      <c r="AH611" s="280"/>
      <c r="AI611" s="280"/>
      <c r="AJ611" s="280"/>
      <c r="AK611" s="280"/>
      <c r="AL611" s="280"/>
      <c r="AM611" s="280"/>
      <c r="AN611" s="280"/>
      <c r="AO611" s="280"/>
      <c r="AP611" s="280"/>
      <c r="AQ611" s="280"/>
      <c r="AR611" s="280"/>
      <c r="AS611" s="280"/>
      <c r="AT611" s="280"/>
      <c r="AU611" s="280"/>
      <c r="AV611" s="280"/>
      <c r="AW611" s="280"/>
      <c r="AX611" s="280"/>
      <c r="AY611" s="280"/>
      <c r="AZ611" s="280"/>
      <c r="BA611" s="280"/>
      <c r="BB611" s="280"/>
      <c r="BC611" s="280"/>
      <c r="BD611" s="280"/>
      <c r="BE611" s="280"/>
      <c r="BF611" s="280"/>
      <c r="BG611" s="280"/>
      <c r="BH611" s="280"/>
      <c r="BI611" s="280"/>
      <c r="BJ611" s="280"/>
      <c r="BK611" s="280"/>
      <c r="BL611" s="280"/>
      <c r="BM611" s="280"/>
      <c r="BN611" s="280"/>
      <c r="BO611" s="280"/>
      <c r="BP611" s="280"/>
      <c r="BQ611" s="280"/>
      <c r="BR611" s="280"/>
      <c r="BS611" s="280"/>
      <c r="BT611" s="280"/>
      <c r="BU611" s="280"/>
      <c r="BV611" s="280"/>
    </row>
    <row r="612" spans="2:74" x14ac:dyDescent="0.2">
      <c r="B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c r="AA612" s="280"/>
      <c r="AB612" s="280"/>
      <c r="AC612" s="280"/>
      <c r="AD612" s="280"/>
      <c r="AE612" s="280"/>
      <c r="AF612" s="280"/>
      <c r="AG612" s="280"/>
      <c r="AH612" s="280"/>
      <c r="AI612" s="280"/>
      <c r="AJ612" s="280"/>
      <c r="AK612" s="280"/>
      <c r="AL612" s="280"/>
      <c r="AM612" s="280"/>
      <c r="AN612" s="280"/>
      <c r="AO612" s="280"/>
      <c r="AP612" s="280"/>
      <c r="AQ612" s="280"/>
      <c r="AR612" s="280"/>
      <c r="AS612" s="280"/>
      <c r="AT612" s="280"/>
      <c r="AU612" s="280"/>
      <c r="AV612" s="280"/>
      <c r="AW612" s="280"/>
      <c r="AX612" s="280"/>
      <c r="AY612" s="280"/>
      <c r="AZ612" s="280"/>
      <c r="BA612" s="280"/>
      <c r="BB612" s="280"/>
      <c r="BC612" s="280"/>
      <c r="BD612" s="280"/>
      <c r="BE612" s="280"/>
      <c r="BF612" s="280"/>
      <c r="BG612" s="280"/>
      <c r="BH612" s="280"/>
      <c r="BI612" s="280"/>
      <c r="BJ612" s="280"/>
      <c r="BK612" s="280"/>
      <c r="BL612" s="280"/>
      <c r="BM612" s="280"/>
      <c r="BN612" s="280"/>
      <c r="BO612" s="280"/>
      <c r="BP612" s="280"/>
      <c r="BQ612" s="280"/>
      <c r="BR612" s="280"/>
      <c r="BS612" s="280"/>
      <c r="BT612" s="280"/>
      <c r="BU612" s="280"/>
      <c r="BV612" s="280"/>
    </row>
    <row r="613" spans="2:74" x14ac:dyDescent="0.2">
      <c r="B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c r="AA613" s="280"/>
      <c r="AB613" s="280"/>
      <c r="AC613" s="280"/>
      <c r="AD613" s="280"/>
      <c r="AE613" s="280"/>
      <c r="AF613" s="280"/>
      <c r="AG613" s="280"/>
      <c r="AH613" s="280"/>
      <c r="AI613" s="280"/>
      <c r="AJ613" s="280"/>
      <c r="AK613" s="280"/>
      <c r="AL613" s="280"/>
      <c r="AM613" s="280"/>
      <c r="AN613" s="280"/>
      <c r="AO613" s="280"/>
      <c r="AP613" s="280"/>
      <c r="AQ613" s="280"/>
      <c r="AR613" s="280"/>
      <c r="AS613" s="280"/>
      <c r="AT613" s="280"/>
      <c r="AU613" s="280"/>
      <c r="AV613" s="280"/>
      <c r="AW613" s="280"/>
      <c r="AX613" s="280"/>
      <c r="AY613" s="280"/>
      <c r="AZ613" s="280"/>
      <c r="BA613" s="280"/>
      <c r="BB613" s="280"/>
      <c r="BC613" s="280"/>
      <c r="BD613" s="280"/>
      <c r="BE613" s="280"/>
      <c r="BF613" s="280"/>
      <c r="BG613" s="280"/>
      <c r="BH613" s="280"/>
      <c r="BI613" s="280"/>
      <c r="BJ613" s="280"/>
      <c r="BK613" s="280"/>
      <c r="BL613" s="280"/>
      <c r="BM613" s="280"/>
      <c r="BN613" s="280"/>
      <c r="BO613" s="280"/>
      <c r="BP613" s="280"/>
      <c r="BQ613" s="280"/>
      <c r="BR613" s="280"/>
      <c r="BS613" s="280"/>
      <c r="BT613" s="280"/>
      <c r="BU613" s="280"/>
      <c r="BV613" s="280"/>
    </row>
    <row r="614" spans="2:74" x14ac:dyDescent="0.2">
      <c r="B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c r="AA614" s="280"/>
      <c r="AB614" s="280"/>
      <c r="AC614" s="280"/>
      <c r="AD614" s="280"/>
      <c r="AE614" s="280"/>
      <c r="AF614" s="280"/>
      <c r="AG614" s="280"/>
      <c r="AH614" s="280"/>
      <c r="AI614" s="280"/>
      <c r="AJ614" s="280"/>
      <c r="AK614" s="280"/>
      <c r="AL614" s="280"/>
      <c r="AM614" s="280"/>
      <c r="AN614" s="280"/>
      <c r="AO614" s="280"/>
      <c r="AP614" s="280"/>
      <c r="AQ614" s="280"/>
      <c r="AR614" s="280"/>
      <c r="AS614" s="280"/>
      <c r="AT614" s="280"/>
      <c r="AU614" s="280"/>
      <c r="AV614" s="280"/>
      <c r="AW614" s="280"/>
      <c r="AX614" s="280"/>
      <c r="AY614" s="280"/>
      <c r="AZ614" s="280"/>
      <c r="BA614" s="280"/>
      <c r="BB614" s="280"/>
      <c r="BC614" s="280"/>
      <c r="BD614" s="280"/>
      <c r="BE614" s="280"/>
      <c r="BF614" s="280"/>
      <c r="BG614" s="280"/>
      <c r="BH614" s="280"/>
      <c r="BI614" s="280"/>
      <c r="BJ614" s="280"/>
      <c r="BK614" s="280"/>
      <c r="BL614" s="280"/>
      <c r="BM614" s="280"/>
      <c r="BN614" s="280"/>
      <c r="BO614" s="280"/>
      <c r="BP614" s="280"/>
      <c r="BQ614" s="280"/>
      <c r="BR614" s="280"/>
      <c r="BS614" s="280"/>
      <c r="BT614" s="280"/>
      <c r="BU614" s="280"/>
      <c r="BV614" s="280"/>
    </row>
    <row r="615" spans="2:74" x14ac:dyDescent="0.2">
      <c r="B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c r="AA615" s="280"/>
      <c r="AB615" s="280"/>
      <c r="AC615" s="280"/>
      <c r="AD615" s="280"/>
      <c r="AE615" s="280"/>
      <c r="AF615" s="280"/>
      <c r="AG615" s="280"/>
      <c r="AH615" s="280"/>
      <c r="AI615" s="280"/>
      <c r="AJ615" s="280"/>
      <c r="AK615" s="280"/>
      <c r="AL615" s="280"/>
      <c r="AM615" s="280"/>
      <c r="AN615" s="280"/>
      <c r="AO615" s="280"/>
      <c r="AP615" s="280"/>
      <c r="AQ615" s="280"/>
      <c r="AR615" s="280"/>
      <c r="AS615" s="280"/>
      <c r="AT615" s="280"/>
      <c r="AU615" s="280"/>
      <c r="AV615" s="280"/>
      <c r="AW615" s="280"/>
      <c r="AX615" s="280"/>
      <c r="AY615" s="280"/>
      <c r="AZ615" s="280"/>
      <c r="BA615" s="280"/>
      <c r="BB615" s="280"/>
      <c r="BC615" s="280"/>
      <c r="BD615" s="280"/>
      <c r="BE615" s="280"/>
      <c r="BF615" s="280"/>
      <c r="BG615" s="280"/>
      <c r="BH615" s="280"/>
      <c r="BI615" s="280"/>
      <c r="BJ615" s="280"/>
      <c r="BK615" s="280"/>
      <c r="BL615" s="280"/>
      <c r="BM615" s="280"/>
      <c r="BN615" s="280"/>
      <c r="BO615" s="280"/>
      <c r="BP615" s="280"/>
      <c r="BQ615" s="280"/>
      <c r="BR615" s="280"/>
      <c r="BS615" s="280"/>
      <c r="BT615" s="280"/>
      <c r="BU615" s="280"/>
      <c r="BV615" s="280"/>
    </row>
    <row r="616" spans="2:74" x14ac:dyDescent="0.2">
      <c r="B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c r="AA616" s="280"/>
      <c r="AB616" s="280"/>
      <c r="AC616" s="280"/>
      <c r="AD616" s="280"/>
      <c r="AE616" s="280"/>
      <c r="AF616" s="280"/>
      <c r="AG616" s="280"/>
      <c r="AH616" s="280"/>
      <c r="AI616" s="280"/>
      <c r="AJ616" s="280"/>
      <c r="AK616" s="280"/>
      <c r="AL616" s="280"/>
      <c r="AM616" s="280"/>
      <c r="AN616" s="280"/>
      <c r="AO616" s="280"/>
      <c r="AP616" s="280"/>
      <c r="AQ616" s="280"/>
      <c r="AR616" s="280"/>
      <c r="AS616" s="280"/>
      <c r="AT616" s="280"/>
      <c r="AU616" s="280"/>
      <c r="AV616" s="280"/>
      <c r="AW616" s="280"/>
      <c r="AX616" s="280"/>
      <c r="AY616" s="280"/>
      <c r="AZ616" s="280"/>
      <c r="BA616" s="280"/>
      <c r="BB616" s="280"/>
      <c r="BC616" s="280"/>
      <c r="BD616" s="280"/>
      <c r="BE616" s="280"/>
      <c r="BF616" s="280"/>
      <c r="BG616" s="280"/>
      <c r="BH616" s="280"/>
      <c r="BI616" s="280"/>
      <c r="BJ616" s="280"/>
      <c r="BK616" s="280"/>
      <c r="BL616" s="280"/>
      <c r="BM616" s="280"/>
      <c r="BN616" s="280"/>
      <c r="BO616" s="280"/>
      <c r="BP616" s="280"/>
      <c r="BQ616" s="280"/>
      <c r="BR616" s="280"/>
      <c r="BS616" s="280"/>
      <c r="BT616" s="280"/>
      <c r="BU616" s="280"/>
      <c r="BV616" s="280"/>
    </row>
    <row r="617" spans="2:74" x14ac:dyDescent="0.2">
      <c r="B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c r="AA617" s="280"/>
      <c r="AB617" s="280"/>
      <c r="AC617" s="280"/>
      <c r="AD617" s="280"/>
      <c r="AE617" s="280"/>
      <c r="AF617" s="280"/>
      <c r="AG617" s="280"/>
      <c r="AH617" s="280"/>
      <c r="AI617" s="280"/>
      <c r="AJ617" s="280"/>
      <c r="AK617" s="280"/>
      <c r="AL617" s="280"/>
      <c r="AM617" s="280"/>
      <c r="AN617" s="280"/>
      <c r="AO617" s="280"/>
      <c r="AP617" s="280"/>
      <c r="AQ617" s="280"/>
      <c r="AR617" s="280"/>
      <c r="AS617" s="280"/>
      <c r="AT617" s="280"/>
      <c r="AU617" s="280"/>
      <c r="AV617" s="280"/>
      <c r="AW617" s="280"/>
      <c r="AX617" s="280"/>
      <c r="AY617" s="280"/>
      <c r="AZ617" s="280"/>
      <c r="BA617" s="280"/>
      <c r="BB617" s="280"/>
      <c r="BC617" s="280"/>
      <c r="BD617" s="280"/>
      <c r="BE617" s="280"/>
      <c r="BF617" s="280"/>
      <c r="BG617" s="280"/>
      <c r="BH617" s="280"/>
      <c r="BI617" s="280"/>
      <c r="BJ617" s="280"/>
      <c r="BK617" s="280"/>
      <c r="BL617" s="280"/>
      <c r="BM617" s="280"/>
      <c r="BN617" s="280"/>
      <c r="BO617" s="280"/>
      <c r="BP617" s="280"/>
      <c r="BQ617" s="280"/>
      <c r="BR617" s="280"/>
      <c r="BS617" s="280"/>
      <c r="BT617" s="280"/>
      <c r="BU617" s="280"/>
      <c r="BV617" s="280"/>
    </row>
    <row r="618" spans="2:74" x14ac:dyDescent="0.2">
      <c r="B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c r="AA618" s="280"/>
      <c r="AB618" s="280"/>
      <c r="AC618" s="280"/>
      <c r="AD618" s="280"/>
      <c r="AE618" s="280"/>
      <c r="AF618" s="280"/>
      <c r="AG618" s="280"/>
      <c r="AH618" s="280"/>
      <c r="AI618" s="280"/>
      <c r="AJ618" s="280"/>
      <c r="AK618" s="280"/>
      <c r="AL618" s="280"/>
      <c r="AM618" s="280"/>
      <c r="AN618" s="280"/>
      <c r="AO618" s="280"/>
      <c r="AP618" s="280"/>
      <c r="AQ618" s="280"/>
      <c r="AR618" s="280"/>
      <c r="AS618" s="280"/>
      <c r="AT618" s="280"/>
      <c r="AU618" s="280"/>
      <c r="AV618" s="280"/>
      <c r="AW618" s="280"/>
      <c r="AX618" s="280"/>
      <c r="AY618" s="280"/>
      <c r="AZ618" s="280"/>
      <c r="BA618" s="280"/>
      <c r="BB618" s="280"/>
      <c r="BC618" s="280"/>
      <c r="BD618" s="280"/>
      <c r="BE618" s="280"/>
      <c r="BF618" s="280"/>
      <c r="BG618" s="280"/>
      <c r="BH618" s="280"/>
      <c r="BI618" s="280"/>
      <c r="BJ618" s="280"/>
      <c r="BK618" s="280"/>
      <c r="BL618" s="280"/>
      <c r="BM618" s="280"/>
      <c r="BN618" s="280"/>
      <c r="BO618" s="280"/>
      <c r="BP618" s="280"/>
      <c r="BQ618" s="280"/>
      <c r="BR618" s="280"/>
      <c r="BS618" s="280"/>
      <c r="BT618" s="280"/>
      <c r="BU618" s="280"/>
      <c r="BV618" s="280"/>
    </row>
    <row r="619" spans="2:74" x14ac:dyDescent="0.2">
      <c r="B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c r="AA619" s="280"/>
      <c r="AB619" s="280"/>
      <c r="AC619" s="280"/>
      <c r="AD619" s="280"/>
      <c r="AE619" s="280"/>
      <c r="AF619" s="280"/>
      <c r="AG619" s="280"/>
      <c r="AH619" s="280"/>
      <c r="AI619" s="280"/>
      <c r="AJ619" s="280"/>
      <c r="AK619" s="280"/>
      <c r="AL619" s="280"/>
      <c r="AM619" s="280"/>
      <c r="AN619" s="280"/>
      <c r="AO619" s="280"/>
      <c r="AP619" s="280"/>
      <c r="AQ619" s="280"/>
      <c r="AR619" s="280"/>
      <c r="AS619" s="280"/>
      <c r="AT619" s="280"/>
      <c r="AU619" s="280"/>
      <c r="AV619" s="280"/>
      <c r="AW619" s="280"/>
      <c r="AX619" s="280"/>
      <c r="AY619" s="280"/>
      <c r="AZ619" s="280"/>
      <c r="BA619" s="280"/>
      <c r="BB619" s="280"/>
      <c r="BC619" s="280"/>
      <c r="BD619" s="280"/>
      <c r="BE619" s="280"/>
      <c r="BF619" s="280"/>
      <c r="BG619" s="280"/>
      <c r="BH619" s="280"/>
      <c r="BI619" s="280"/>
      <c r="BJ619" s="280"/>
      <c r="BK619" s="280"/>
      <c r="BL619" s="280"/>
      <c r="BM619" s="280"/>
      <c r="BN619" s="280"/>
      <c r="BO619" s="280"/>
      <c r="BP619" s="280"/>
      <c r="BQ619" s="280"/>
      <c r="BR619" s="280"/>
      <c r="BS619" s="280"/>
      <c r="BT619" s="280"/>
      <c r="BU619" s="280"/>
      <c r="BV619" s="280"/>
    </row>
    <row r="620" spans="2:74" x14ac:dyDescent="0.2">
      <c r="B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c r="AA620" s="280"/>
      <c r="AB620" s="280"/>
      <c r="AC620" s="280"/>
      <c r="AD620" s="280"/>
      <c r="AE620" s="280"/>
      <c r="AF620" s="280"/>
      <c r="AG620" s="280"/>
      <c r="AH620" s="280"/>
      <c r="AI620" s="280"/>
      <c r="AJ620" s="280"/>
      <c r="AK620" s="280"/>
      <c r="AL620" s="280"/>
      <c r="AM620" s="280"/>
      <c r="AN620" s="280"/>
      <c r="AO620" s="280"/>
      <c r="AP620" s="280"/>
      <c r="AQ620" s="280"/>
      <c r="AR620" s="280"/>
      <c r="AS620" s="280"/>
      <c r="AT620" s="280"/>
      <c r="AU620" s="280"/>
      <c r="AV620" s="280"/>
      <c r="AW620" s="280"/>
      <c r="AX620" s="280"/>
      <c r="AY620" s="280"/>
      <c r="AZ620" s="280"/>
      <c r="BA620" s="280"/>
      <c r="BB620" s="280"/>
      <c r="BC620" s="280"/>
      <c r="BD620" s="280"/>
      <c r="BE620" s="280"/>
      <c r="BF620" s="280"/>
      <c r="BG620" s="280"/>
      <c r="BH620" s="280"/>
      <c r="BI620" s="280"/>
      <c r="BJ620" s="280"/>
      <c r="BK620" s="280"/>
      <c r="BL620" s="280"/>
      <c r="BM620" s="280"/>
      <c r="BN620" s="280"/>
      <c r="BO620" s="280"/>
      <c r="BP620" s="280"/>
      <c r="BQ620" s="280"/>
      <c r="BR620" s="280"/>
      <c r="BS620" s="280"/>
      <c r="BT620" s="280"/>
      <c r="BU620" s="280"/>
      <c r="BV620" s="280"/>
    </row>
    <row r="621" spans="2:74" x14ac:dyDescent="0.2">
      <c r="B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c r="AH621" s="280"/>
      <c r="AI621" s="280"/>
      <c r="AJ621" s="280"/>
      <c r="AK621" s="280"/>
      <c r="AL621" s="280"/>
      <c r="AM621" s="280"/>
      <c r="AN621" s="280"/>
      <c r="AO621" s="280"/>
      <c r="AP621" s="280"/>
      <c r="AQ621" s="280"/>
      <c r="AR621" s="280"/>
      <c r="AS621" s="280"/>
      <c r="AT621" s="280"/>
      <c r="AU621" s="280"/>
      <c r="AV621" s="280"/>
      <c r="AW621" s="280"/>
      <c r="AX621" s="280"/>
      <c r="AY621" s="280"/>
      <c r="AZ621" s="280"/>
      <c r="BA621" s="280"/>
      <c r="BB621" s="280"/>
      <c r="BC621" s="280"/>
      <c r="BD621" s="280"/>
      <c r="BE621" s="280"/>
      <c r="BF621" s="280"/>
      <c r="BG621" s="280"/>
      <c r="BH621" s="280"/>
      <c r="BI621" s="280"/>
      <c r="BJ621" s="280"/>
      <c r="BK621" s="280"/>
      <c r="BL621" s="280"/>
      <c r="BM621" s="280"/>
      <c r="BN621" s="280"/>
      <c r="BO621" s="280"/>
      <c r="BP621" s="280"/>
      <c r="BQ621" s="280"/>
      <c r="BR621" s="280"/>
      <c r="BS621" s="280"/>
      <c r="BT621" s="280"/>
      <c r="BU621" s="280"/>
      <c r="BV621" s="280"/>
    </row>
    <row r="622" spans="2:74" x14ac:dyDescent="0.2">
      <c r="B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c r="AA622" s="280"/>
      <c r="AB622" s="280"/>
      <c r="AC622" s="280"/>
      <c r="AD622" s="280"/>
      <c r="AE622" s="280"/>
      <c r="AF622" s="280"/>
      <c r="AG622" s="280"/>
      <c r="AH622" s="280"/>
      <c r="AI622" s="280"/>
      <c r="AJ622" s="280"/>
      <c r="AK622" s="280"/>
      <c r="AL622" s="280"/>
      <c r="AM622" s="280"/>
      <c r="AN622" s="280"/>
      <c r="AO622" s="280"/>
      <c r="AP622" s="280"/>
      <c r="AQ622" s="280"/>
      <c r="AR622" s="280"/>
      <c r="AS622" s="280"/>
      <c r="AT622" s="280"/>
      <c r="AU622" s="280"/>
      <c r="AV622" s="280"/>
      <c r="AW622" s="280"/>
      <c r="AX622" s="280"/>
      <c r="AY622" s="280"/>
      <c r="AZ622" s="280"/>
      <c r="BA622" s="280"/>
      <c r="BB622" s="280"/>
      <c r="BC622" s="280"/>
      <c r="BD622" s="280"/>
      <c r="BE622" s="280"/>
      <c r="BF622" s="280"/>
      <c r="BG622" s="280"/>
      <c r="BH622" s="280"/>
      <c r="BI622" s="280"/>
      <c r="BJ622" s="280"/>
      <c r="BK622" s="280"/>
      <c r="BL622" s="280"/>
      <c r="BM622" s="280"/>
      <c r="BN622" s="280"/>
      <c r="BO622" s="280"/>
      <c r="BP622" s="280"/>
      <c r="BQ622" s="280"/>
      <c r="BR622" s="280"/>
      <c r="BS622" s="280"/>
      <c r="BT622" s="280"/>
      <c r="BU622" s="280"/>
      <c r="BV622" s="280"/>
    </row>
    <row r="623" spans="2:74" x14ac:dyDescent="0.2">
      <c r="B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c r="AA623" s="280"/>
      <c r="AB623" s="280"/>
      <c r="AC623" s="280"/>
      <c r="AD623" s="280"/>
      <c r="AE623" s="280"/>
      <c r="AF623" s="280"/>
      <c r="AG623" s="280"/>
      <c r="AH623" s="280"/>
      <c r="AI623" s="280"/>
      <c r="AJ623" s="280"/>
      <c r="AK623" s="280"/>
      <c r="AL623" s="280"/>
      <c r="AM623" s="280"/>
      <c r="AN623" s="280"/>
      <c r="AO623" s="280"/>
      <c r="AP623" s="280"/>
      <c r="AQ623" s="280"/>
      <c r="AR623" s="280"/>
      <c r="AS623" s="280"/>
      <c r="AT623" s="280"/>
      <c r="AU623" s="280"/>
      <c r="AV623" s="280"/>
      <c r="AW623" s="280"/>
      <c r="AX623" s="280"/>
      <c r="AY623" s="280"/>
      <c r="AZ623" s="280"/>
      <c r="BA623" s="280"/>
      <c r="BB623" s="280"/>
      <c r="BC623" s="280"/>
      <c r="BD623" s="280"/>
      <c r="BE623" s="280"/>
      <c r="BF623" s="280"/>
      <c r="BG623" s="280"/>
      <c r="BH623" s="280"/>
      <c r="BI623" s="280"/>
      <c r="BJ623" s="280"/>
      <c r="BK623" s="280"/>
      <c r="BL623" s="280"/>
      <c r="BM623" s="280"/>
      <c r="BN623" s="280"/>
      <c r="BO623" s="280"/>
      <c r="BP623" s="280"/>
      <c r="BQ623" s="280"/>
      <c r="BR623" s="280"/>
      <c r="BS623" s="280"/>
      <c r="BT623" s="280"/>
      <c r="BU623" s="280"/>
      <c r="BV623" s="280"/>
    </row>
    <row r="624" spans="2:74" x14ac:dyDescent="0.2">
      <c r="B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c r="AA624" s="280"/>
      <c r="AB624" s="280"/>
      <c r="AC624" s="280"/>
      <c r="AD624" s="280"/>
      <c r="AE624" s="280"/>
      <c r="AF624" s="280"/>
      <c r="AG624" s="280"/>
      <c r="AH624" s="280"/>
      <c r="AI624" s="280"/>
      <c r="AJ624" s="280"/>
      <c r="AK624" s="280"/>
      <c r="AL624" s="280"/>
      <c r="AM624" s="280"/>
      <c r="AN624" s="280"/>
      <c r="AO624" s="280"/>
      <c r="AP624" s="280"/>
      <c r="AQ624" s="280"/>
      <c r="AR624" s="280"/>
      <c r="AS624" s="280"/>
      <c r="AT624" s="280"/>
      <c r="AU624" s="280"/>
      <c r="AV624" s="280"/>
      <c r="AW624" s="280"/>
      <c r="AX624" s="280"/>
      <c r="AY624" s="280"/>
      <c r="AZ624" s="280"/>
      <c r="BA624" s="280"/>
      <c r="BB624" s="280"/>
      <c r="BC624" s="280"/>
      <c r="BD624" s="280"/>
      <c r="BE624" s="280"/>
      <c r="BF624" s="280"/>
      <c r="BG624" s="280"/>
      <c r="BH624" s="280"/>
      <c r="BI624" s="280"/>
      <c r="BJ624" s="280"/>
      <c r="BK624" s="280"/>
      <c r="BL624" s="280"/>
      <c r="BM624" s="280"/>
      <c r="BN624" s="280"/>
      <c r="BO624" s="280"/>
      <c r="BP624" s="280"/>
      <c r="BQ624" s="280"/>
      <c r="BR624" s="280"/>
      <c r="BS624" s="280"/>
      <c r="BT624" s="280"/>
      <c r="BU624" s="280"/>
      <c r="BV624" s="280"/>
    </row>
    <row r="625" spans="2:74" x14ac:dyDescent="0.2">
      <c r="B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c r="AA625" s="280"/>
      <c r="AB625" s="280"/>
      <c r="AC625" s="280"/>
      <c r="AD625" s="280"/>
      <c r="AE625" s="280"/>
      <c r="AF625" s="280"/>
      <c r="AG625" s="280"/>
      <c r="AH625" s="280"/>
      <c r="AI625" s="280"/>
      <c r="AJ625" s="280"/>
      <c r="AK625" s="280"/>
      <c r="AL625" s="280"/>
      <c r="AM625" s="280"/>
      <c r="AN625" s="280"/>
      <c r="AO625" s="280"/>
      <c r="AP625" s="280"/>
      <c r="AQ625" s="280"/>
      <c r="AR625" s="280"/>
      <c r="AS625" s="280"/>
      <c r="AT625" s="280"/>
      <c r="AU625" s="280"/>
      <c r="AV625" s="280"/>
      <c r="AW625" s="280"/>
      <c r="AX625" s="280"/>
      <c r="AY625" s="280"/>
      <c r="AZ625" s="280"/>
      <c r="BA625" s="280"/>
      <c r="BB625" s="280"/>
      <c r="BC625" s="280"/>
      <c r="BD625" s="280"/>
      <c r="BE625" s="280"/>
      <c r="BF625" s="280"/>
      <c r="BG625" s="280"/>
      <c r="BH625" s="280"/>
      <c r="BI625" s="280"/>
      <c r="BJ625" s="280"/>
      <c r="BK625" s="280"/>
      <c r="BL625" s="280"/>
      <c r="BM625" s="280"/>
      <c r="BN625" s="280"/>
      <c r="BO625" s="280"/>
      <c r="BP625" s="280"/>
      <c r="BQ625" s="280"/>
      <c r="BR625" s="280"/>
      <c r="BS625" s="280"/>
      <c r="BT625" s="280"/>
      <c r="BU625" s="280"/>
      <c r="BV625" s="280"/>
    </row>
    <row r="626" spans="2:74" x14ac:dyDescent="0.2">
      <c r="B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c r="AA626" s="280"/>
      <c r="AB626" s="280"/>
      <c r="AC626" s="280"/>
      <c r="AD626" s="280"/>
      <c r="AE626" s="280"/>
      <c r="AF626" s="280"/>
      <c r="AG626" s="280"/>
      <c r="AH626" s="280"/>
      <c r="AI626" s="280"/>
      <c r="AJ626" s="280"/>
      <c r="AK626" s="280"/>
      <c r="AL626" s="280"/>
      <c r="AM626" s="280"/>
      <c r="AN626" s="280"/>
      <c r="AO626" s="280"/>
      <c r="AP626" s="280"/>
      <c r="AQ626" s="280"/>
      <c r="AR626" s="280"/>
      <c r="AS626" s="280"/>
      <c r="AT626" s="28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280"/>
      <c r="BP626" s="280"/>
      <c r="BQ626" s="280"/>
      <c r="BR626" s="280"/>
      <c r="BS626" s="280"/>
      <c r="BT626" s="280"/>
      <c r="BU626" s="280"/>
      <c r="BV626" s="280"/>
    </row>
    <row r="627" spans="2:74" x14ac:dyDescent="0.2">
      <c r="B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0"/>
      <c r="AL627" s="280"/>
      <c r="AM627" s="280"/>
      <c r="AN627" s="280"/>
      <c r="AO627" s="280"/>
      <c r="AP627" s="280"/>
      <c r="AQ627" s="280"/>
      <c r="AR627" s="280"/>
      <c r="AS627" s="280"/>
      <c r="AT627" s="280"/>
      <c r="AU627" s="280"/>
      <c r="AV627" s="280"/>
      <c r="AW627" s="280"/>
      <c r="AX627" s="280"/>
      <c r="AY627" s="280"/>
      <c r="AZ627" s="280"/>
      <c r="BA627" s="280"/>
      <c r="BB627" s="280"/>
      <c r="BC627" s="280"/>
      <c r="BD627" s="280"/>
      <c r="BE627" s="280"/>
      <c r="BF627" s="280"/>
      <c r="BG627" s="280"/>
      <c r="BH627" s="280"/>
      <c r="BI627" s="280"/>
      <c r="BJ627" s="280"/>
      <c r="BK627" s="280"/>
      <c r="BL627" s="280"/>
      <c r="BM627" s="280"/>
      <c r="BN627" s="280"/>
      <c r="BO627" s="280"/>
      <c r="BP627" s="280"/>
      <c r="BQ627" s="280"/>
      <c r="BR627" s="280"/>
      <c r="BS627" s="280"/>
      <c r="BT627" s="280"/>
      <c r="BU627" s="280"/>
      <c r="BV627" s="280"/>
    </row>
    <row r="628" spans="2:74" x14ac:dyDescent="0.2">
      <c r="B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c r="Z628" s="280"/>
      <c r="AA628" s="280"/>
      <c r="AB628" s="280"/>
      <c r="AC628" s="280"/>
      <c r="AD628" s="280"/>
      <c r="AE628" s="280"/>
      <c r="AF628" s="280"/>
      <c r="AG628" s="280"/>
      <c r="AH628" s="280"/>
      <c r="AI628" s="280"/>
      <c r="AJ628" s="280"/>
      <c r="AK628" s="280"/>
      <c r="AL628" s="280"/>
      <c r="AM628" s="280"/>
      <c r="AN628" s="280"/>
      <c r="AO628" s="280"/>
      <c r="AP628" s="280"/>
      <c r="AQ628" s="280"/>
      <c r="AR628" s="280"/>
      <c r="AS628" s="280"/>
      <c r="AT628" s="280"/>
      <c r="AU628" s="280"/>
      <c r="AV628" s="280"/>
      <c r="AW628" s="280"/>
      <c r="AX628" s="280"/>
      <c r="AY628" s="280"/>
      <c r="AZ628" s="280"/>
      <c r="BA628" s="280"/>
      <c r="BB628" s="280"/>
      <c r="BC628" s="280"/>
      <c r="BD628" s="280"/>
      <c r="BE628" s="280"/>
      <c r="BF628" s="280"/>
      <c r="BG628" s="280"/>
      <c r="BH628" s="280"/>
      <c r="BI628" s="280"/>
      <c r="BJ628" s="280"/>
      <c r="BK628" s="280"/>
      <c r="BL628" s="280"/>
      <c r="BM628" s="280"/>
      <c r="BN628" s="280"/>
      <c r="BO628" s="280"/>
      <c r="BP628" s="280"/>
      <c r="BQ628" s="280"/>
      <c r="BR628" s="280"/>
      <c r="BS628" s="280"/>
      <c r="BT628" s="280"/>
      <c r="BU628" s="280"/>
      <c r="BV628" s="280"/>
    </row>
    <row r="629" spans="2:74" x14ac:dyDescent="0.2">
      <c r="B629" s="280"/>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c r="Z629" s="280"/>
      <c r="AA629" s="280"/>
      <c r="AB629" s="280"/>
      <c r="AC629" s="280"/>
      <c r="AD629" s="280"/>
      <c r="AE629" s="280"/>
      <c r="AF629" s="280"/>
      <c r="AG629" s="280"/>
      <c r="AH629" s="280"/>
      <c r="AI629" s="280"/>
      <c r="AJ629" s="280"/>
      <c r="AK629" s="280"/>
      <c r="AL629" s="280"/>
      <c r="AM629" s="280"/>
      <c r="AN629" s="280"/>
      <c r="AO629" s="280"/>
      <c r="AP629" s="280"/>
      <c r="AQ629" s="280"/>
      <c r="AR629" s="280"/>
      <c r="AS629" s="280"/>
      <c r="AT629" s="280"/>
      <c r="AU629" s="280"/>
      <c r="AV629" s="280"/>
      <c r="AW629" s="280"/>
      <c r="AX629" s="280"/>
      <c r="AY629" s="280"/>
      <c r="AZ629" s="280"/>
      <c r="BA629" s="280"/>
      <c r="BB629" s="280"/>
      <c r="BC629" s="280"/>
      <c r="BD629" s="280"/>
      <c r="BE629" s="280"/>
      <c r="BF629" s="280"/>
      <c r="BG629" s="280"/>
      <c r="BH629" s="280"/>
      <c r="BI629" s="280"/>
      <c r="BJ629" s="280"/>
      <c r="BK629" s="280"/>
      <c r="BL629" s="280"/>
      <c r="BM629" s="280"/>
      <c r="BN629" s="280"/>
      <c r="BO629" s="280"/>
      <c r="BP629" s="280"/>
      <c r="BQ629" s="280"/>
      <c r="BR629" s="280"/>
      <c r="BS629" s="280"/>
      <c r="BT629" s="280"/>
      <c r="BU629" s="280"/>
      <c r="BV629" s="280"/>
    </row>
    <row r="630" spans="2:74" x14ac:dyDescent="0.2">
      <c r="B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c r="Z630" s="280"/>
      <c r="AA630" s="280"/>
      <c r="AB630" s="280"/>
      <c r="AC630" s="280"/>
      <c r="AD630" s="280"/>
      <c r="AE630" s="280"/>
      <c r="AF630" s="280"/>
      <c r="AG630" s="280"/>
      <c r="AH630" s="280"/>
      <c r="AI630" s="280"/>
      <c r="AJ630" s="280"/>
      <c r="AK630" s="280"/>
      <c r="AL630" s="280"/>
      <c r="AM630" s="280"/>
      <c r="AN630" s="280"/>
      <c r="AO630" s="280"/>
      <c r="AP630" s="280"/>
      <c r="AQ630" s="280"/>
      <c r="AR630" s="280"/>
      <c r="AS630" s="280"/>
      <c r="AT630" s="280"/>
      <c r="AU630" s="280"/>
      <c r="AV630" s="280"/>
      <c r="AW630" s="280"/>
      <c r="AX630" s="280"/>
      <c r="AY630" s="280"/>
      <c r="AZ630" s="280"/>
      <c r="BA630" s="280"/>
      <c r="BB630" s="280"/>
      <c r="BC630" s="280"/>
      <c r="BD630" s="280"/>
      <c r="BE630" s="280"/>
      <c r="BF630" s="280"/>
      <c r="BG630" s="280"/>
      <c r="BH630" s="280"/>
      <c r="BI630" s="280"/>
      <c r="BJ630" s="280"/>
      <c r="BK630" s="280"/>
      <c r="BL630" s="280"/>
      <c r="BM630" s="280"/>
      <c r="BN630" s="280"/>
      <c r="BO630" s="280"/>
      <c r="BP630" s="280"/>
      <c r="BQ630" s="280"/>
      <c r="BR630" s="280"/>
      <c r="BS630" s="280"/>
      <c r="BT630" s="280"/>
      <c r="BU630" s="280"/>
      <c r="BV630" s="280"/>
    </row>
    <row r="631" spans="2:74" x14ac:dyDescent="0.2">
      <c r="B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c r="AA631" s="280"/>
      <c r="AB631" s="280"/>
      <c r="AC631" s="280"/>
      <c r="AD631" s="280"/>
      <c r="AE631" s="280"/>
      <c r="AF631" s="280"/>
      <c r="AG631" s="280"/>
      <c r="AH631" s="280"/>
      <c r="AI631" s="280"/>
      <c r="AJ631" s="280"/>
      <c r="AK631" s="280"/>
      <c r="AL631" s="280"/>
      <c r="AM631" s="280"/>
      <c r="AN631" s="280"/>
      <c r="AO631" s="280"/>
      <c r="AP631" s="280"/>
      <c r="AQ631" s="280"/>
      <c r="AR631" s="280"/>
      <c r="AS631" s="280"/>
      <c r="AT631" s="280"/>
      <c r="AU631" s="280"/>
      <c r="AV631" s="280"/>
      <c r="AW631" s="280"/>
      <c r="AX631" s="280"/>
      <c r="AY631" s="280"/>
      <c r="AZ631" s="280"/>
      <c r="BA631" s="280"/>
      <c r="BB631" s="280"/>
      <c r="BC631" s="280"/>
      <c r="BD631" s="280"/>
      <c r="BE631" s="280"/>
      <c r="BF631" s="280"/>
      <c r="BG631" s="280"/>
      <c r="BH631" s="280"/>
      <c r="BI631" s="280"/>
      <c r="BJ631" s="280"/>
      <c r="BK631" s="280"/>
      <c r="BL631" s="280"/>
      <c r="BM631" s="280"/>
      <c r="BN631" s="280"/>
      <c r="BO631" s="280"/>
      <c r="BP631" s="280"/>
      <c r="BQ631" s="280"/>
      <c r="BR631" s="280"/>
      <c r="BS631" s="280"/>
      <c r="BT631" s="280"/>
      <c r="BU631" s="280"/>
      <c r="BV631" s="280"/>
    </row>
    <row r="632" spans="2:74" x14ac:dyDescent="0.2">
      <c r="B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c r="AA632" s="280"/>
      <c r="AB632" s="280"/>
      <c r="AC632" s="280"/>
      <c r="AD632" s="280"/>
      <c r="AE632" s="280"/>
      <c r="AF632" s="280"/>
      <c r="AG632" s="280"/>
      <c r="AH632" s="280"/>
      <c r="AI632" s="280"/>
      <c r="AJ632" s="280"/>
      <c r="AK632" s="280"/>
      <c r="AL632" s="280"/>
      <c r="AM632" s="280"/>
      <c r="AN632" s="280"/>
      <c r="AO632" s="280"/>
      <c r="AP632" s="280"/>
      <c r="AQ632" s="280"/>
      <c r="AR632" s="280"/>
      <c r="AS632" s="280"/>
      <c r="AT632" s="280"/>
      <c r="AU632" s="280"/>
      <c r="AV632" s="280"/>
      <c r="AW632" s="280"/>
      <c r="AX632" s="280"/>
      <c r="AY632" s="280"/>
      <c r="AZ632" s="280"/>
      <c r="BA632" s="280"/>
      <c r="BB632" s="280"/>
      <c r="BC632" s="280"/>
      <c r="BD632" s="280"/>
      <c r="BE632" s="280"/>
      <c r="BF632" s="280"/>
      <c r="BG632" s="280"/>
      <c r="BH632" s="280"/>
      <c r="BI632" s="280"/>
      <c r="BJ632" s="280"/>
      <c r="BK632" s="280"/>
      <c r="BL632" s="280"/>
      <c r="BM632" s="280"/>
      <c r="BN632" s="280"/>
      <c r="BO632" s="280"/>
      <c r="BP632" s="280"/>
      <c r="BQ632" s="280"/>
      <c r="BR632" s="280"/>
      <c r="BS632" s="280"/>
      <c r="BT632" s="280"/>
      <c r="BU632" s="280"/>
      <c r="BV632" s="280"/>
    </row>
    <row r="633" spans="2:74" x14ac:dyDescent="0.2">
      <c r="B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c r="AA633" s="280"/>
      <c r="AB633" s="280"/>
      <c r="AC633" s="280"/>
      <c r="AD633" s="280"/>
      <c r="AE633" s="280"/>
      <c r="AF633" s="280"/>
      <c r="AG633" s="280"/>
      <c r="AH633" s="280"/>
      <c r="AI633" s="280"/>
      <c r="AJ633" s="280"/>
      <c r="AK633" s="280"/>
      <c r="AL633" s="280"/>
      <c r="AM633" s="280"/>
      <c r="AN633" s="280"/>
      <c r="AO633" s="280"/>
      <c r="AP633" s="280"/>
      <c r="AQ633" s="280"/>
      <c r="AR633" s="280"/>
      <c r="AS633" s="280"/>
      <c r="AT633" s="280"/>
      <c r="AU633" s="280"/>
      <c r="AV633" s="280"/>
      <c r="AW633" s="280"/>
      <c r="AX633" s="280"/>
      <c r="AY633" s="280"/>
      <c r="AZ633" s="280"/>
      <c r="BA633" s="280"/>
      <c r="BB633" s="280"/>
      <c r="BC633" s="280"/>
      <c r="BD633" s="280"/>
      <c r="BE633" s="280"/>
      <c r="BF633" s="280"/>
      <c r="BG633" s="280"/>
      <c r="BH633" s="280"/>
      <c r="BI633" s="280"/>
      <c r="BJ633" s="280"/>
      <c r="BK633" s="280"/>
      <c r="BL633" s="280"/>
      <c r="BM633" s="280"/>
      <c r="BN633" s="280"/>
      <c r="BO633" s="280"/>
      <c r="BP633" s="280"/>
      <c r="BQ633" s="280"/>
      <c r="BR633" s="280"/>
      <c r="BS633" s="280"/>
      <c r="BT633" s="280"/>
      <c r="BU633" s="280"/>
      <c r="BV633" s="280"/>
    </row>
    <row r="634" spans="2:74" x14ac:dyDescent="0.2">
      <c r="B634" s="280"/>
      <c r="D634" s="280"/>
      <c r="E634" s="280"/>
      <c r="F634" s="280"/>
      <c r="G634" s="280"/>
      <c r="H634" s="280"/>
      <c r="I634" s="280"/>
      <c r="J634" s="280"/>
      <c r="K634" s="280"/>
      <c r="L634" s="280"/>
      <c r="M634" s="280"/>
      <c r="N634" s="280"/>
      <c r="O634" s="280"/>
      <c r="P634" s="280"/>
      <c r="Q634" s="280"/>
      <c r="R634" s="280"/>
      <c r="S634" s="280"/>
      <c r="T634" s="280"/>
      <c r="U634" s="280"/>
      <c r="V634" s="280"/>
      <c r="W634" s="280"/>
      <c r="X634" s="280"/>
      <c r="Y634" s="280"/>
      <c r="Z634" s="280"/>
      <c r="AA634" s="280"/>
      <c r="AB634" s="280"/>
      <c r="AC634" s="280"/>
      <c r="AD634" s="280"/>
      <c r="AE634" s="280"/>
      <c r="AF634" s="280"/>
      <c r="AG634" s="280"/>
      <c r="AH634" s="280"/>
      <c r="AI634" s="280"/>
      <c r="AJ634" s="280"/>
      <c r="AK634" s="280"/>
      <c r="AL634" s="280"/>
      <c r="AM634" s="280"/>
      <c r="AN634" s="280"/>
      <c r="AO634" s="280"/>
      <c r="AP634" s="280"/>
      <c r="AQ634" s="280"/>
      <c r="AR634" s="280"/>
      <c r="AS634" s="280"/>
      <c r="AT634" s="280"/>
      <c r="AU634" s="280"/>
      <c r="AV634" s="280"/>
      <c r="AW634" s="280"/>
      <c r="AX634" s="280"/>
      <c r="AY634" s="280"/>
      <c r="AZ634" s="280"/>
      <c r="BA634" s="280"/>
      <c r="BB634" s="280"/>
      <c r="BC634" s="280"/>
      <c r="BD634" s="280"/>
      <c r="BE634" s="280"/>
      <c r="BF634" s="280"/>
      <c r="BG634" s="280"/>
      <c r="BH634" s="280"/>
      <c r="BI634" s="280"/>
      <c r="BJ634" s="280"/>
      <c r="BK634" s="280"/>
      <c r="BL634" s="280"/>
      <c r="BM634" s="280"/>
      <c r="BN634" s="280"/>
      <c r="BO634" s="280"/>
      <c r="BP634" s="280"/>
      <c r="BQ634" s="280"/>
      <c r="BR634" s="280"/>
      <c r="BS634" s="280"/>
      <c r="BT634" s="280"/>
      <c r="BU634" s="280"/>
      <c r="BV634" s="280"/>
    </row>
    <row r="635" spans="2:74" x14ac:dyDescent="0.2">
      <c r="B635" s="280"/>
      <c r="D635" s="280"/>
      <c r="E635" s="280"/>
      <c r="F635" s="280"/>
      <c r="G635" s="280"/>
      <c r="H635" s="280"/>
      <c r="I635" s="280"/>
      <c r="J635" s="280"/>
      <c r="K635" s="280"/>
      <c r="L635" s="280"/>
      <c r="M635" s="280"/>
      <c r="N635" s="280"/>
      <c r="O635" s="280"/>
      <c r="P635" s="280"/>
      <c r="Q635" s="280"/>
      <c r="R635" s="280"/>
      <c r="S635" s="280"/>
      <c r="T635" s="280"/>
      <c r="U635" s="280"/>
      <c r="V635" s="280"/>
      <c r="W635" s="280"/>
      <c r="X635" s="280"/>
      <c r="Y635" s="280"/>
      <c r="Z635" s="280"/>
      <c r="AA635" s="280"/>
      <c r="AB635" s="280"/>
      <c r="AC635" s="280"/>
      <c r="AD635" s="280"/>
      <c r="AE635" s="280"/>
      <c r="AF635" s="280"/>
      <c r="AG635" s="280"/>
      <c r="AH635" s="280"/>
      <c r="AI635" s="280"/>
      <c r="AJ635" s="280"/>
      <c r="AK635" s="280"/>
      <c r="AL635" s="280"/>
      <c r="AM635" s="280"/>
      <c r="AN635" s="280"/>
      <c r="AO635" s="280"/>
      <c r="AP635" s="280"/>
      <c r="AQ635" s="280"/>
      <c r="AR635" s="280"/>
      <c r="AS635" s="280"/>
      <c r="AT635" s="280"/>
      <c r="AU635" s="280"/>
      <c r="AV635" s="280"/>
      <c r="AW635" s="280"/>
      <c r="AX635" s="280"/>
      <c r="AY635" s="280"/>
      <c r="AZ635" s="280"/>
      <c r="BA635" s="280"/>
      <c r="BB635" s="280"/>
      <c r="BC635" s="280"/>
      <c r="BD635" s="280"/>
      <c r="BE635" s="280"/>
      <c r="BF635" s="280"/>
      <c r="BG635" s="280"/>
      <c r="BH635" s="280"/>
      <c r="BI635" s="280"/>
      <c r="BJ635" s="280"/>
      <c r="BK635" s="280"/>
      <c r="BL635" s="280"/>
      <c r="BM635" s="280"/>
      <c r="BN635" s="280"/>
      <c r="BO635" s="280"/>
      <c r="BP635" s="280"/>
      <c r="BQ635" s="280"/>
      <c r="BR635" s="280"/>
      <c r="BS635" s="280"/>
      <c r="BT635" s="280"/>
      <c r="BU635" s="280"/>
      <c r="BV635" s="280"/>
    </row>
    <row r="636" spans="2:74" x14ac:dyDescent="0.2">
      <c r="B636" s="280"/>
      <c r="D636" s="280"/>
      <c r="E636" s="280"/>
      <c r="F636" s="280"/>
      <c r="G636" s="280"/>
      <c r="H636" s="280"/>
      <c r="I636" s="280"/>
      <c r="J636" s="280"/>
      <c r="K636" s="280"/>
      <c r="L636" s="280"/>
      <c r="M636" s="280"/>
      <c r="N636" s="280"/>
      <c r="O636" s="280"/>
      <c r="P636" s="280"/>
      <c r="Q636" s="280"/>
      <c r="R636" s="280"/>
      <c r="S636" s="280"/>
      <c r="T636" s="280"/>
      <c r="U636" s="280"/>
      <c r="V636" s="280"/>
      <c r="W636" s="280"/>
      <c r="X636" s="280"/>
      <c r="Y636" s="280"/>
      <c r="Z636" s="280"/>
      <c r="AA636" s="280"/>
      <c r="AB636" s="280"/>
      <c r="AC636" s="280"/>
      <c r="AD636" s="280"/>
      <c r="AE636" s="280"/>
      <c r="AF636" s="280"/>
      <c r="AG636" s="280"/>
      <c r="AH636" s="280"/>
      <c r="AI636" s="280"/>
      <c r="AJ636" s="280"/>
      <c r="AK636" s="280"/>
      <c r="AL636" s="280"/>
      <c r="AM636" s="280"/>
      <c r="AN636" s="280"/>
      <c r="AO636" s="280"/>
      <c r="AP636" s="280"/>
      <c r="AQ636" s="280"/>
      <c r="AR636" s="280"/>
      <c r="AS636" s="280"/>
      <c r="AT636" s="280"/>
      <c r="AU636" s="280"/>
      <c r="AV636" s="280"/>
      <c r="AW636" s="280"/>
      <c r="AX636" s="280"/>
      <c r="AY636" s="280"/>
      <c r="AZ636" s="280"/>
      <c r="BA636" s="280"/>
      <c r="BB636" s="280"/>
      <c r="BC636" s="280"/>
      <c r="BD636" s="280"/>
      <c r="BE636" s="280"/>
      <c r="BF636" s="280"/>
      <c r="BG636" s="280"/>
      <c r="BH636" s="280"/>
      <c r="BI636" s="280"/>
      <c r="BJ636" s="280"/>
      <c r="BK636" s="280"/>
      <c r="BL636" s="280"/>
      <c r="BM636" s="280"/>
      <c r="BN636" s="280"/>
      <c r="BO636" s="280"/>
      <c r="BP636" s="280"/>
      <c r="BQ636" s="280"/>
      <c r="BR636" s="280"/>
      <c r="BS636" s="280"/>
      <c r="BT636" s="280"/>
      <c r="BU636" s="280"/>
      <c r="BV636" s="280"/>
    </row>
  </sheetData>
  <mergeCells count="16">
    <mergeCell ref="B26:C26"/>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 right="0.7" top="0.75" bottom="0.75" header="0.3" footer="0.3"/>
  <pageSetup scale="4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633"/>
  <sheetViews>
    <sheetView view="pageBreakPreview" topLeftCell="A31" zoomScale="98" zoomScaleNormal="100" zoomScaleSheetLayoutView="98" workbookViewId="0">
      <selection activeCell="N70" sqref="N70"/>
    </sheetView>
  </sheetViews>
  <sheetFormatPr defaultRowHeight="12.75" x14ac:dyDescent="0.2"/>
  <cols>
    <col min="1" max="1" width="2.85546875" style="281" customWidth="1"/>
    <col min="2" max="2" width="3.28515625" style="281" customWidth="1"/>
    <col min="3" max="3" width="69.28515625" style="280" customWidth="1"/>
    <col min="4" max="4" width="6" style="281" customWidth="1"/>
    <col min="5" max="8" width="15.28515625" style="281" hidden="1" customWidth="1"/>
    <col min="9" max="9" width="16.140625" style="281" customWidth="1"/>
    <col min="10" max="13" width="15.28515625" style="281" hidden="1" customWidth="1"/>
    <col min="14" max="14" width="15.28515625" style="281" customWidth="1"/>
    <col min="15" max="18" width="15.28515625" style="281" hidden="1" customWidth="1"/>
    <col min="19" max="19" width="15.28515625" style="281" customWidth="1"/>
    <col min="20" max="23" width="15.28515625" style="281" hidden="1" customWidth="1"/>
    <col min="24" max="24" width="15.28515625" style="281" customWidth="1"/>
    <col min="25" max="28" width="15.28515625" style="281" hidden="1" customWidth="1"/>
    <col min="29" max="29" width="15.28515625" style="281" customWidth="1"/>
    <col min="30" max="33" width="15.28515625" style="281" hidden="1" customWidth="1"/>
    <col min="34" max="34" width="15.28515625" style="281" customWidth="1"/>
    <col min="35" max="38" width="15.28515625" style="281" hidden="1" customWidth="1"/>
    <col min="39" max="39" width="15.28515625" style="281" customWidth="1"/>
    <col min="40" max="73" width="15.28515625" style="281" hidden="1" customWidth="1"/>
    <col min="74" max="74" width="15.28515625" style="281" customWidth="1"/>
    <col min="75" max="75" width="3.28515625" style="281" customWidth="1"/>
    <col min="76" max="76" width="7.85546875" style="281" hidden="1" customWidth="1"/>
    <col min="77" max="77" width="3.28515625" style="281" customWidth="1"/>
    <col min="78" max="78" width="9.85546875" style="281" bestFit="1" customWidth="1"/>
    <col min="79" max="79" width="9.5703125" style="281" bestFit="1" customWidth="1"/>
    <col min="80" max="256" width="9.140625" style="281"/>
    <col min="257" max="257" width="2.85546875" style="281" customWidth="1"/>
    <col min="258" max="258" width="3.28515625" style="281" customWidth="1"/>
    <col min="259" max="259" width="69.28515625" style="281" customWidth="1"/>
    <col min="260" max="260" width="6" style="281" customWidth="1"/>
    <col min="261" max="265" width="13.5703125" style="281" customWidth="1"/>
    <col min="266" max="290" width="0" style="281" hidden="1" customWidth="1"/>
    <col min="291" max="291" width="11.28515625" style="281" customWidth="1"/>
    <col min="292" max="292" width="13.5703125" style="281" customWidth="1"/>
    <col min="293" max="293" width="11.28515625" style="281" customWidth="1"/>
    <col min="294" max="294" width="13.28515625" style="281" customWidth="1"/>
    <col min="295" max="295" width="11.28515625" style="281" customWidth="1"/>
    <col min="296" max="325" width="0" style="281" hidden="1" customWidth="1"/>
    <col min="326" max="326" width="12.7109375" style="281" customWidth="1"/>
    <col min="327" max="327" width="13.140625" style="281" customWidth="1"/>
    <col min="328" max="328" width="11.28515625" style="281" customWidth="1"/>
    <col min="329" max="329" width="12.7109375" style="281" customWidth="1"/>
    <col min="330" max="330" width="12.5703125" style="281" customWidth="1"/>
    <col min="331" max="331" width="3.28515625" style="281" customWidth="1"/>
    <col min="332" max="332" width="0" style="281" hidden="1" customWidth="1"/>
    <col min="333" max="333" width="3.28515625" style="281" customWidth="1"/>
    <col min="334" max="334" width="9.85546875" style="281" bestFit="1" customWidth="1"/>
    <col min="335" max="335" width="9.5703125" style="281" bestFit="1" customWidth="1"/>
    <col min="336" max="512" width="9.140625" style="281"/>
    <col min="513" max="513" width="2.85546875" style="281" customWidth="1"/>
    <col min="514" max="514" width="3.28515625" style="281" customWidth="1"/>
    <col min="515" max="515" width="69.28515625" style="281" customWidth="1"/>
    <col min="516" max="516" width="6" style="281" customWidth="1"/>
    <col min="517" max="521" width="13.5703125" style="281" customWidth="1"/>
    <col min="522" max="546" width="0" style="281" hidden="1" customWidth="1"/>
    <col min="547" max="547" width="11.28515625" style="281" customWidth="1"/>
    <col min="548" max="548" width="13.5703125" style="281" customWidth="1"/>
    <col min="549" max="549" width="11.28515625" style="281" customWidth="1"/>
    <col min="550" max="550" width="13.28515625" style="281" customWidth="1"/>
    <col min="551" max="551" width="11.28515625" style="281" customWidth="1"/>
    <col min="552" max="581" width="0" style="281" hidden="1" customWidth="1"/>
    <col min="582" max="582" width="12.7109375" style="281" customWidth="1"/>
    <col min="583" max="583" width="13.140625" style="281" customWidth="1"/>
    <col min="584" max="584" width="11.28515625" style="281" customWidth="1"/>
    <col min="585" max="585" width="12.7109375" style="281" customWidth="1"/>
    <col min="586" max="586" width="12.5703125" style="281" customWidth="1"/>
    <col min="587" max="587" width="3.28515625" style="281" customWidth="1"/>
    <col min="588" max="588" width="0" style="281" hidden="1" customWidth="1"/>
    <col min="589" max="589" width="3.28515625" style="281" customWidth="1"/>
    <col min="590" max="590" width="9.85546875" style="281" bestFit="1" customWidth="1"/>
    <col min="591" max="591" width="9.5703125" style="281" bestFit="1" customWidth="1"/>
    <col min="592" max="768" width="9.140625" style="281"/>
    <col min="769" max="769" width="2.85546875" style="281" customWidth="1"/>
    <col min="770" max="770" width="3.28515625" style="281" customWidth="1"/>
    <col min="771" max="771" width="69.28515625" style="281" customWidth="1"/>
    <col min="772" max="772" width="6" style="281" customWidth="1"/>
    <col min="773" max="777" width="13.5703125" style="281" customWidth="1"/>
    <col min="778" max="802" width="0" style="281" hidden="1" customWidth="1"/>
    <col min="803" max="803" width="11.28515625" style="281" customWidth="1"/>
    <col min="804" max="804" width="13.5703125" style="281" customWidth="1"/>
    <col min="805" max="805" width="11.28515625" style="281" customWidth="1"/>
    <col min="806" max="806" width="13.28515625" style="281" customWidth="1"/>
    <col min="807" max="807" width="11.28515625" style="281" customWidth="1"/>
    <col min="808" max="837" width="0" style="281" hidden="1" customWidth="1"/>
    <col min="838" max="838" width="12.7109375" style="281" customWidth="1"/>
    <col min="839" max="839" width="13.140625" style="281" customWidth="1"/>
    <col min="840" max="840" width="11.28515625" style="281" customWidth="1"/>
    <col min="841" max="841" width="12.7109375" style="281" customWidth="1"/>
    <col min="842" max="842" width="12.5703125" style="281" customWidth="1"/>
    <col min="843" max="843" width="3.28515625" style="281" customWidth="1"/>
    <col min="844" max="844" width="0" style="281" hidden="1" customWidth="1"/>
    <col min="845" max="845" width="3.28515625" style="281" customWidth="1"/>
    <col min="846" max="846" width="9.85546875" style="281" bestFit="1" customWidth="1"/>
    <col min="847" max="847" width="9.5703125" style="281" bestFit="1" customWidth="1"/>
    <col min="848" max="1024" width="9.140625" style="281"/>
    <col min="1025" max="1025" width="2.85546875" style="281" customWidth="1"/>
    <col min="1026" max="1026" width="3.28515625" style="281" customWidth="1"/>
    <col min="1027" max="1027" width="69.28515625" style="281" customWidth="1"/>
    <col min="1028" max="1028" width="6" style="281" customWidth="1"/>
    <col min="1029" max="1033" width="13.5703125" style="281" customWidth="1"/>
    <col min="1034" max="1058" width="0" style="281" hidden="1" customWidth="1"/>
    <col min="1059" max="1059" width="11.28515625" style="281" customWidth="1"/>
    <col min="1060" max="1060" width="13.5703125" style="281" customWidth="1"/>
    <col min="1061" max="1061" width="11.28515625" style="281" customWidth="1"/>
    <col min="1062" max="1062" width="13.28515625" style="281" customWidth="1"/>
    <col min="1063" max="1063" width="11.28515625" style="281" customWidth="1"/>
    <col min="1064" max="1093" width="0" style="281" hidden="1" customWidth="1"/>
    <col min="1094" max="1094" width="12.7109375" style="281" customWidth="1"/>
    <col min="1095" max="1095" width="13.140625" style="281" customWidth="1"/>
    <col min="1096" max="1096" width="11.28515625" style="281" customWidth="1"/>
    <col min="1097" max="1097" width="12.7109375" style="281" customWidth="1"/>
    <col min="1098" max="1098" width="12.5703125" style="281" customWidth="1"/>
    <col min="1099" max="1099" width="3.28515625" style="281" customWidth="1"/>
    <col min="1100" max="1100" width="0" style="281" hidden="1" customWidth="1"/>
    <col min="1101" max="1101" width="3.28515625" style="281" customWidth="1"/>
    <col min="1102" max="1102" width="9.85546875" style="281" bestFit="1" customWidth="1"/>
    <col min="1103" max="1103" width="9.5703125" style="281" bestFit="1" customWidth="1"/>
    <col min="1104" max="1280" width="9.140625" style="281"/>
    <col min="1281" max="1281" width="2.85546875" style="281" customWidth="1"/>
    <col min="1282" max="1282" width="3.28515625" style="281" customWidth="1"/>
    <col min="1283" max="1283" width="69.28515625" style="281" customWidth="1"/>
    <col min="1284" max="1284" width="6" style="281" customWidth="1"/>
    <col min="1285" max="1289" width="13.5703125" style="281" customWidth="1"/>
    <col min="1290" max="1314" width="0" style="281" hidden="1" customWidth="1"/>
    <col min="1315" max="1315" width="11.28515625" style="281" customWidth="1"/>
    <col min="1316" max="1316" width="13.5703125" style="281" customWidth="1"/>
    <col min="1317" max="1317" width="11.28515625" style="281" customWidth="1"/>
    <col min="1318" max="1318" width="13.28515625" style="281" customWidth="1"/>
    <col min="1319" max="1319" width="11.28515625" style="281" customWidth="1"/>
    <col min="1320" max="1349" width="0" style="281" hidden="1" customWidth="1"/>
    <col min="1350" max="1350" width="12.7109375" style="281" customWidth="1"/>
    <col min="1351" max="1351" width="13.140625" style="281" customWidth="1"/>
    <col min="1352" max="1352" width="11.28515625" style="281" customWidth="1"/>
    <col min="1353" max="1353" width="12.7109375" style="281" customWidth="1"/>
    <col min="1354" max="1354" width="12.5703125" style="281" customWidth="1"/>
    <col min="1355" max="1355" width="3.28515625" style="281" customWidth="1"/>
    <col min="1356" max="1356" width="0" style="281" hidden="1" customWidth="1"/>
    <col min="1357" max="1357" width="3.28515625" style="281" customWidth="1"/>
    <col min="1358" max="1358" width="9.85546875" style="281" bestFit="1" customWidth="1"/>
    <col min="1359" max="1359" width="9.5703125" style="281" bestFit="1" customWidth="1"/>
    <col min="1360" max="1536" width="9.140625" style="281"/>
    <col min="1537" max="1537" width="2.85546875" style="281" customWidth="1"/>
    <col min="1538" max="1538" width="3.28515625" style="281" customWidth="1"/>
    <col min="1539" max="1539" width="69.28515625" style="281" customWidth="1"/>
    <col min="1540" max="1540" width="6" style="281" customWidth="1"/>
    <col min="1541" max="1545" width="13.5703125" style="281" customWidth="1"/>
    <col min="1546" max="1570" width="0" style="281" hidden="1" customWidth="1"/>
    <col min="1571" max="1571" width="11.28515625" style="281" customWidth="1"/>
    <col min="1572" max="1572" width="13.5703125" style="281" customWidth="1"/>
    <col min="1573" max="1573" width="11.28515625" style="281" customWidth="1"/>
    <col min="1574" max="1574" width="13.28515625" style="281" customWidth="1"/>
    <col min="1575" max="1575" width="11.28515625" style="281" customWidth="1"/>
    <col min="1576" max="1605" width="0" style="281" hidden="1" customWidth="1"/>
    <col min="1606" max="1606" width="12.7109375" style="281" customWidth="1"/>
    <col min="1607" max="1607" width="13.140625" style="281" customWidth="1"/>
    <col min="1608" max="1608" width="11.28515625" style="281" customWidth="1"/>
    <col min="1609" max="1609" width="12.7109375" style="281" customWidth="1"/>
    <col min="1610" max="1610" width="12.5703125" style="281" customWidth="1"/>
    <col min="1611" max="1611" width="3.28515625" style="281" customWidth="1"/>
    <col min="1612" max="1612" width="0" style="281" hidden="1" customWidth="1"/>
    <col min="1613" max="1613" width="3.28515625" style="281" customWidth="1"/>
    <col min="1614" max="1614" width="9.85546875" style="281" bestFit="1" customWidth="1"/>
    <col min="1615" max="1615" width="9.5703125" style="281" bestFit="1" customWidth="1"/>
    <col min="1616" max="1792" width="9.140625" style="281"/>
    <col min="1793" max="1793" width="2.85546875" style="281" customWidth="1"/>
    <col min="1794" max="1794" width="3.28515625" style="281" customWidth="1"/>
    <col min="1795" max="1795" width="69.28515625" style="281" customWidth="1"/>
    <col min="1796" max="1796" width="6" style="281" customWidth="1"/>
    <col min="1797" max="1801" width="13.5703125" style="281" customWidth="1"/>
    <col min="1802" max="1826" width="0" style="281" hidden="1" customWidth="1"/>
    <col min="1827" max="1827" width="11.28515625" style="281" customWidth="1"/>
    <col min="1828" max="1828" width="13.5703125" style="281" customWidth="1"/>
    <col min="1829" max="1829" width="11.28515625" style="281" customWidth="1"/>
    <col min="1830" max="1830" width="13.28515625" style="281" customWidth="1"/>
    <col min="1831" max="1831" width="11.28515625" style="281" customWidth="1"/>
    <col min="1832" max="1861" width="0" style="281" hidden="1" customWidth="1"/>
    <col min="1862" max="1862" width="12.7109375" style="281" customWidth="1"/>
    <col min="1863" max="1863" width="13.140625" style="281" customWidth="1"/>
    <col min="1864" max="1864" width="11.28515625" style="281" customWidth="1"/>
    <col min="1865" max="1865" width="12.7109375" style="281" customWidth="1"/>
    <col min="1866" max="1866" width="12.5703125" style="281" customWidth="1"/>
    <col min="1867" max="1867" width="3.28515625" style="281" customWidth="1"/>
    <col min="1868" max="1868" width="0" style="281" hidden="1" customWidth="1"/>
    <col min="1869" max="1869" width="3.28515625" style="281" customWidth="1"/>
    <col min="1870" max="1870" width="9.85546875" style="281" bestFit="1" customWidth="1"/>
    <col min="1871" max="1871" width="9.5703125" style="281" bestFit="1" customWidth="1"/>
    <col min="1872" max="2048" width="9.140625" style="281"/>
    <col min="2049" max="2049" width="2.85546875" style="281" customWidth="1"/>
    <col min="2050" max="2050" width="3.28515625" style="281" customWidth="1"/>
    <col min="2051" max="2051" width="69.28515625" style="281" customWidth="1"/>
    <col min="2052" max="2052" width="6" style="281" customWidth="1"/>
    <col min="2053" max="2057" width="13.5703125" style="281" customWidth="1"/>
    <col min="2058" max="2082" width="0" style="281" hidden="1" customWidth="1"/>
    <col min="2083" max="2083" width="11.28515625" style="281" customWidth="1"/>
    <col min="2084" max="2084" width="13.5703125" style="281" customWidth="1"/>
    <col min="2085" max="2085" width="11.28515625" style="281" customWidth="1"/>
    <col min="2086" max="2086" width="13.28515625" style="281" customWidth="1"/>
    <col min="2087" max="2087" width="11.28515625" style="281" customWidth="1"/>
    <col min="2088" max="2117" width="0" style="281" hidden="1" customWidth="1"/>
    <col min="2118" max="2118" width="12.7109375" style="281" customWidth="1"/>
    <col min="2119" max="2119" width="13.140625" style="281" customWidth="1"/>
    <col min="2120" max="2120" width="11.28515625" style="281" customWidth="1"/>
    <col min="2121" max="2121" width="12.7109375" style="281" customWidth="1"/>
    <col min="2122" max="2122" width="12.5703125" style="281" customWidth="1"/>
    <col min="2123" max="2123" width="3.28515625" style="281" customWidth="1"/>
    <col min="2124" max="2124" width="0" style="281" hidden="1" customWidth="1"/>
    <col min="2125" max="2125" width="3.28515625" style="281" customWidth="1"/>
    <col min="2126" max="2126" width="9.85546875" style="281" bestFit="1" customWidth="1"/>
    <col min="2127" max="2127" width="9.5703125" style="281" bestFit="1" customWidth="1"/>
    <col min="2128" max="2304" width="9.140625" style="281"/>
    <col min="2305" max="2305" width="2.85546875" style="281" customWidth="1"/>
    <col min="2306" max="2306" width="3.28515625" style="281" customWidth="1"/>
    <col min="2307" max="2307" width="69.28515625" style="281" customWidth="1"/>
    <col min="2308" max="2308" width="6" style="281" customWidth="1"/>
    <col min="2309" max="2313" width="13.5703125" style="281" customWidth="1"/>
    <col min="2314" max="2338" width="0" style="281" hidden="1" customWidth="1"/>
    <col min="2339" max="2339" width="11.28515625" style="281" customWidth="1"/>
    <col min="2340" max="2340" width="13.5703125" style="281" customWidth="1"/>
    <col min="2341" max="2341" width="11.28515625" style="281" customWidth="1"/>
    <col min="2342" max="2342" width="13.28515625" style="281" customWidth="1"/>
    <col min="2343" max="2343" width="11.28515625" style="281" customWidth="1"/>
    <col min="2344" max="2373" width="0" style="281" hidden="1" customWidth="1"/>
    <col min="2374" max="2374" width="12.7109375" style="281" customWidth="1"/>
    <col min="2375" max="2375" width="13.140625" style="281" customWidth="1"/>
    <col min="2376" max="2376" width="11.28515625" style="281" customWidth="1"/>
    <col min="2377" max="2377" width="12.7109375" style="281" customWidth="1"/>
    <col min="2378" max="2378" width="12.5703125" style="281" customWidth="1"/>
    <col min="2379" max="2379" width="3.28515625" style="281" customWidth="1"/>
    <col min="2380" max="2380" width="0" style="281" hidden="1" customWidth="1"/>
    <col min="2381" max="2381" width="3.28515625" style="281" customWidth="1"/>
    <col min="2382" max="2382" width="9.85546875" style="281" bestFit="1" customWidth="1"/>
    <col min="2383" max="2383" width="9.5703125" style="281" bestFit="1" customWidth="1"/>
    <col min="2384" max="2560" width="9.140625" style="281"/>
    <col min="2561" max="2561" width="2.85546875" style="281" customWidth="1"/>
    <col min="2562" max="2562" width="3.28515625" style="281" customWidth="1"/>
    <col min="2563" max="2563" width="69.28515625" style="281" customWidth="1"/>
    <col min="2564" max="2564" width="6" style="281" customWidth="1"/>
    <col min="2565" max="2569" width="13.5703125" style="281" customWidth="1"/>
    <col min="2570" max="2594" width="0" style="281" hidden="1" customWidth="1"/>
    <col min="2595" max="2595" width="11.28515625" style="281" customWidth="1"/>
    <col min="2596" max="2596" width="13.5703125" style="281" customWidth="1"/>
    <col min="2597" max="2597" width="11.28515625" style="281" customWidth="1"/>
    <col min="2598" max="2598" width="13.28515625" style="281" customWidth="1"/>
    <col min="2599" max="2599" width="11.28515625" style="281" customWidth="1"/>
    <col min="2600" max="2629" width="0" style="281" hidden="1" customWidth="1"/>
    <col min="2630" max="2630" width="12.7109375" style="281" customWidth="1"/>
    <col min="2631" max="2631" width="13.140625" style="281" customWidth="1"/>
    <col min="2632" max="2632" width="11.28515625" style="281" customWidth="1"/>
    <col min="2633" max="2633" width="12.7109375" style="281" customWidth="1"/>
    <col min="2634" max="2634" width="12.5703125" style="281" customWidth="1"/>
    <col min="2635" max="2635" width="3.28515625" style="281" customWidth="1"/>
    <col min="2636" max="2636" width="0" style="281" hidden="1" customWidth="1"/>
    <col min="2637" max="2637" width="3.28515625" style="281" customWidth="1"/>
    <col min="2638" max="2638" width="9.85546875" style="281" bestFit="1" customWidth="1"/>
    <col min="2639" max="2639" width="9.5703125" style="281" bestFit="1" customWidth="1"/>
    <col min="2640" max="2816" width="9.140625" style="281"/>
    <col min="2817" max="2817" width="2.85546875" style="281" customWidth="1"/>
    <col min="2818" max="2818" width="3.28515625" style="281" customWidth="1"/>
    <col min="2819" max="2819" width="69.28515625" style="281" customWidth="1"/>
    <col min="2820" max="2820" width="6" style="281" customWidth="1"/>
    <col min="2821" max="2825" width="13.5703125" style="281" customWidth="1"/>
    <col min="2826" max="2850" width="0" style="281" hidden="1" customWidth="1"/>
    <col min="2851" max="2851" width="11.28515625" style="281" customWidth="1"/>
    <col min="2852" max="2852" width="13.5703125" style="281" customWidth="1"/>
    <col min="2853" max="2853" width="11.28515625" style="281" customWidth="1"/>
    <col min="2854" max="2854" width="13.28515625" style="281" customWidth="1"/>
    <col min="2855" max="2855" width="11.28515625" style="281" customWidth="1"/>
    <col min="2856" max="2885" width="0" style="281" hidden="1" customWidth="1"/>
    <col min="2886" max="2886" width="12.7109375" style="281" customWidth="1"/>
    <col min="2887" max="2887" width="13.140625" style="281" customWidth="1"/>
    <col min="2888" max="2888" width="11.28515625" style="281" customWidth="1"/>
    <col min="2889" max="2889" width="12.7109375" style="281" customWidth="1"/>
    <col min="2890" max="2890" width="12.5703125" style="281" customWidth="1"/>
    <col min="2891" max="2891" width="3.28515625" style="281" customWidth="1"/>
    <col min="2892" max="2892" width="0" style="281" hidden="1" customWidth="1"/>
    <col min="2893" max="2893" width="3.28515625" style="281" customWidth="1"/>
    <col min="2894" max="2894" width="9.85546875" style="281" bestFit="1" customWidth="1"/>
    <col min="2895" max="2895" width="9.5703125" style="281" bestFit="1" customWidth="1"/>
    <col min="2896" max="3072" width="9.140625" style="281"/>
    <col min="3073" max="3073" width="2.85546875" style="281" customWidth="1"/>
    <col min="3074" max="3074" width="3.28515625" style="281" customWidth="1"/>
    <col min="3075" max="3075" width="69.28515625" style="281" customWidth="1"/>
    <col min="3076" max="3076" width="6" style="281" customWidth="1"/>
    <col min="3077" max="3081" width="13.5703125" style="281" customWidth="1"/>
    <col min="3082" max="3106" width="0" style="281" hidden="1" customWidth="1"/>
    <col min="3107" max="3107" width="11.28515625" style="281" customWidth="1"/>
    <col min="3108" max="3108" width="13.5703125" style="281" customWidth="1"/>
    <col min="3109" max="3109" width="11.28515625" style="281" customWidth="1"/>
    <col min="3110" max="3110" width="13.28515625" style="281" customWidth="1"/>
    <col min="3111" max="3111" width="11.28515625" style="281" customWidth="1"/>
    <col min="3112" max="3141" width="0" style="281" hidden="1" customWidth="1"/>
    <col min="3142" max="3142" width="12.7109375" style="281" customWidth="1"/>
    <col min="3143" max="3143" width="13.140625" style="281" customWidth="1"/>
    <col min="3144" max="3144" width="11.28515625" style="281" customWidth="1"/>
    <col min="3145" max="3145" width="12.7109375" style="281" customWidth="1"/>
    <col min="3146" max="3146" width="12.5703125" style="281" customWidth="1"/>
    <col min="3147" max="3147" width="3.28515625" style="281" customWidth="1"/>
    <col min="3148" max="3148" width="0" style="281" hidden="1" customWidth="1"/>
    <col min="3149" max="3149" width="3.28515625" style="281" customWidth="1"/>
    <col min="3150" max="3150" width="9.85546875" style="281" bestFit="1" customWidth="1"/>
    <col min="3151" max="3151" width="9.5703125" style="281" bestFit="1" customWidth="1"/>
    <col min="3152" max="3328" width="9.140625" style="281"/>
    <col min="3329" max="3329" width="2.85546875" style="281" customWidth="1"/>
    <col min="3330" max="3330" width="3.28515625" style="281" customWidth="1"/>
    <col min="3331" max="3331" width="69.28515625" style="281" customWidth="1"/>
    <col min="3332" max="3332" width="6" style="281" customWidth="1"/>
    <col min="3333" max="3337" width="13.5703125" style="281" customWidth="1"/>
    <col min="3338" max="3362" width="0" style="281" hidden="1" customWidth="1"/>
    <col min="3363" max="3363" width="11.28515625" style="281" customWidth="1"/>
    <col min="3364" max="3364" width="13.5703125" style="281" customWidth="1"/>
    <col min="3365" max="3365" width="11.28515625" style="281" customWidth="1"/>
    <col min="3366" max="3366" width="13.28515625" style="281" customWidth="1"/>
    <col min="3367" max="3367" width="11.28515625" style="281" customWidth="1"/>
    <col min="3368" max="3397" width="0" style="281" hidden="1" customWidth="1"/>
    <col min="3398" max="3398" width="12.7109375" style="281" customWidth="1"/>
    <col min="3399" max="3399" width="13.140625" style="281" customWidth="1"/>
    <col min="3400" max="3400" width="11.28515625" style="281" customWidth="1"/>
    <col min="3401" max="3401" width="12.7109375" style="281" customWidth="1"/>
    <col min="3402" max="3402" width="12.5703125" style="281" customWidth="1"/>
    <col min="3403" max="3403" width="3.28515625" style="281" customWidth="1"/>
    <col min="3404" max="3404" width="0" style="281" hidden="1" customWidth="1"/>
    <col min="3405" max="3405" width="3.28515625" style="281" customWidth="1"/>
    <col min="3406" max="3406" width="9.85546875" style="281" bestFit="1" customWidth="1"/>
    <col min="3407" max="3407" width="9.5703125" style="281" bestFit="1" customWidth="1"/>
    <col min="3408" max="3584" width="9.140625" style="281"/>
    <col min="3585" max="3585" width="2.85546875" style="281" customWidth="1"/>
    <col min="3586" max="3586" width="3.28515625" style="281" customWidth="1"/>
    <col min="3587" max="3587" width="69.28515625" style="281" customWidth="1"/>
    <col min="3588" max="3588" width="6" style="281" customWidth="1"/>
    <col min="3589" max="3593" width="13.5703125" style="281" customWidth="1"/>
    <col min="3594" max="3618" width="0" style="281" hidden="1" customWidth="1"/>
    <col min="3619" max="3619" width="11.28515625" style="281" customWidth="1"/>
    <col min="3620" max="3620" width="13.5703125" style="281" customWidth="1"/>
    <col min="3621" max="3621" width="11.28515625" style="281" customWidth="1"/>
    <col min="3622" max="3622" width="13.28515625" style="281" customWidth="1"/>
    <col min="3623" max="3623" width="11.28515625" style="281" customWidth="1"/>
    <col min="3624" max="3653" width="0" style="281" hidden="1" customWidth="1"/>
    <col min="3654" max="3654" width="12.7109375" style="281" customWidth="1"/>
    <col min="3655" max="3655" width="13.140625" style="281" customWidth="1"/>
    <col min="3656" max="3656" width="11.28515625" style="281" customWidth="1"/>
    <col min="3657" max="3657" width="12.7109375" style="281" customWidth="1"/>
    <col min="3658" max="3658" width="12.5703125" style="281" customWidth="1"/>
    <col min="3659" max="3659" width="3.28515625" style="281" customWidth="1"/>
    <col min="3660" max="3660" width="0" style="281" hidden="1" customWidth="1"/>
    <col min="3661" max="3661" width="3.28515625" style="281" customWidth="1"/>
    <col min="3662" max="3662" width="9.85546875" style="281" bestFit="1" customWidth="1"/>
    <col min="3663" max="3663" width="9.5703125" style="281" bestFit="1" customWidth="1"/>
    <col min="3664" max="3840" width="9.140625" style="281"/>
    <col min="3841" max="3841" width="2.85546875" style="281" customWidth="1"/>
    <col min="3842" max="3842" width="3.28515625" style="281" customWidth="1"/>
    <col min="3843" max="3843" width="69.28515625" style="281" customWidth="1"/>
    <col min="3844" max="3844" width="6" style="281" customWidth="1"/>
    <col min="3845" max="3849" width="13.5703125" style="281" customWidth="1"/>
    <col min="3850" max="3874" width="0" style="281" hidden="1" customWidth="1"/>
    <col min="3875" max="3875" width="11.28515625" style="281" customWidth="1"/>
    <col min="3876" max="3876" width="13.5703125" style="281" customWidth="1"/>
    <col min="3877" max="3877" width="11.28515625" style="281" customWidth="1"/>
    <col min="3878" max="3878" width="13.28515625" style="281" customWidth="1"/>
    <col min="3879" max="3879" width="11.28515625" style="281" customWidth="1"/>
    <col min="3880" max="3909" width="0" style="281" hidden="1" customWidth="1"/>
    <col min="3910" max="3910" width="12.7109375" style="281" customWidth="1"/>
    <col min="3911" max="3911" width="13.140625" style="281" customWidth="1"/>
    <col min="3912" max="3912" width="11.28515625" style="281" customWidth="1"/>
    <col min="3913" max="3913" width="12.7109375" style="281" customWidth="1"/>
    <col min="3914" max="3914" width="12.5703125" style="281" customWidth="1"/>
    <col min="3915" max="3915" width="3.28515625" style="281" customWidth="1"/>
    <col min="3916" max="3916" width="0" style="281" hidden="1" customWidth="1"/>
    <col min="3917" max="3917" width="3.28515625" style="281" customWidth="1"/>
    <col min="3918" max="3918" width="9.85546875" style="281" bestFit="1" customWidth="1"/>
    <col min="3919" max="3919" width="9.5703125" style="281" bestFit="1" customWidth="1"/>
    <col min="3920" max="4096" width="9.140625" style="281"/>
    <col min="4097" max="4097" width="2.85546875" style="281" customWidth="1"/>
    <col min="4098" max="4098" width="3.28515625" style="281" customWidth="1"/>
    <col min="4099" max="4099" width="69.28515625" style="281" customWidth="1"/>
    <col min="4100" max="4100" width="6" style="281" customWidth="1"/>
    <col min="4101" max="4105" width="13.5703125" style="281" customWidth="1"/>
    <col min="4106" max="4130" width="0" style="281" hidden="1" customWidth="1"/>
    <col min="4131" max="4131" width="11.28515625" style="281" customWidth="1"/>
    <col min="4132" max="4132" width="13.5703125" style="281" customWidth="1"/>
    <col min="4133" max="4133" width="11.28515625" style="281" customWidth="1"/>
    <col min="4134" max="4134" width="13.28515625" style="281" customWidth="1"/>
    <col min="4135" max="4135" width="11.28515625" style="281" customWidth="1"/>
    <col min="4136" max="4165" width="0" style="281" hidden="1" customWidth="1"/>
    <col min="4166" max="4166" width="12.7109375" style="281" customWidth="1"/>
    <col min="4167" max="4167" width="13.140625" style="281" customWidth="1"/>
    <col min="4168" max="4168" width="11.28515625" style="281" customWidth="1"/>
    <col min="4169" max="4169" width="12.7109375" style="281" customWidth="1"/>
    <col min="4170" max="4170" width="12.5703125" style="281" customWidth="1"/>
    <col min="4171" max="4171" width="3.28515625" style="281" customWidth="1"/>
    <col min="4172" max="4172" width="0" style="281" hidden="1" customWidth="1"/>
    <col min="4173" max="4173" width="3.28515625" style="281" customWidth="1"/>
    <col min="4174" max="4174" width="9.85546875" style="281" bestFit="1" customWidth="1"/>
    <col min="4175" max="4175" width="9.5703125" style="281" bestFit="1" customWidth="1"/>
    <col min="4176" max="4352" width="9.140625" style="281"/>
    <col min="4353" max="4353" width="2.85546875" style="281" customWidth="1"/>
    <col min="4354" max="4354" width="3.28515625" style="281" customWidth="1"/>
    <col min="4355" max="4355" width="69.28515625" style="281" customWidth="1"/>
    <col min="4356" max="4356" width="6" style="281" customWidth="1"/>
    <col min="4357" max="4361" width="13.5703125" style="281" customWidth="1"/>
    <col min="4362" max="4386" width="0" style="281" hidden="1" customWidth="1"/>
    <col min="4387" max="4387" width="11.28515625" style="281" customWidth="1"/>
    <col min="4388" max="4388" width="13.5703125" style="281" customWidth="1"/>
    <col min="4389" max="4389" width="11.28515625" style="281" customWidth="1"/>
    <col min="4390" max="4390" width="13.28515625" style="281" customWidth="1"/>
    <col min="4391" max="4391" width="11.28515625" style="281" customWidth="1"/>
    <col min="4392" max="4421" width="0" style="281" hidden="1" customWidth="1"/>
    <col min="4422" max="4422" width="12.7109375" style="281" customWidth="1"/>
    <col min="4423" max="4423" width="13.140625" style="281" customWidth="1"/>
    <col min="4424" max="4424" width="11.28515625" style="281" customWidth="1"/>
    <col min="4425" max="4425" width="12.7109375" style="281" customWidth="1"/>
    <col min="4426" max="4426" width="12.5703125" style="281" customWidth="1"/>
    <col min="4427" max="4427" width="3.28515625" style="281" customWidth="1"/>
    <col min="4428" max="4428" width="0" style="281" hidden="1" customWidth="1"/>
    <col min="4429" max="4429" width="3.28515625" style="281" customWidth="1"/>
    <col min="4430" max="4430" width="9.85546875" style="281" bestFit="1" customWidth="1"/>
    <col min="4431" max="4431" width="9.5703125" style="281" bestFit="1" customWidth="1"/>
    <col min="4432" max="4608" width="9.140625" style="281"/>
    <col min="4609" max="4609" width="2.85546875" style="281" customWidth="1"/>
    <col min="4610" max="4610" width="3.28515625" style="281" customWidth="1"/>
    <col min="4611" max="4611" width="69.28515625" style="281" customWidth="1"/>
    <col min="4612" max="4612" width="6" style="281" customWidth="1"/>
    <col min="4613" max="4617" width="13.5703125" style="281" customWidth="1"/>
    <col min="4618" max="4642" width="0" style="281" hidden="1" customWidth="1"/>
    <col min="4643" max="4643" width="11.28515625" style="281" customWidth="1"/>
    <col min="4644" max="4644" width="13.5703125" style="281" customWidth="1"/>
    <col min="4645" max="4645" width="11.28515625" style="281" customWidth="1"/>
    <col min="4646" max="4646" width="13.28515625" style="281" customWidth="1"/>
    <col min="4647" max="4647" width="11.28515625" style="281" customWidth="1"/>
    <col min="4648" max="4677" width="0" style="281" hidden="1" customWidth="1"/>
    <col min="4678" max="4678" width="12.7109375" style="281" customWidth="1"/>
    <col min="4679" max="4679" width="13.140625" style="281" customWidth="1"/>
    <col min="4680" max="4680" width="11.28515625" style="281" customWidth="1"/>
    <col min="4681" max="4681" width="12.7109375" style="281" customWidth="1"/>
    <col min="4682" max="4682" width="12.5703125" style="281" customWidth="1"/>
    <col min="4683" max="4683" width="3.28515625" style="281" customWidth="1"/>
    <col min="4684" max="4684" width="0" style="281" hidden="1" customWidth="1"/>
    <col min="4685" max="4685" width="3.28515625" style="281" customWidth="1"/>
    <col min="4686" max="4686" width="9.85546875" style="281" bestFit="1" customWidth="1"/>
    <col min="4687" max="4687" width="9.5703125" style="281" bestFit="1" customWidth="1"/>
    <col min="4688" max="4864" width="9.140625" style="281"/>
    <col min="4865" max="4865" width="2.85546875" style="281" customWidth="1"/>
    <col min="4866" max="4866" width="3.28515625" style="281" customWidth="1"/>
    <col min="4867" max="4867" width="69.28515625" style="281" customWidth="1"/>
    <col min="4868" max="4868" width="6" style="281" customWidth="1"/>
    <col min="4869" max="4873" width="13.5703125" style="281" customWidth="1"/>
    <col min="4874" max="4898" width="0" style="281" hidden="1" customWidth="1"/>
    <col min="4899" max="4899" width="11.28515625" style="281" customWidth="1"/>
    <col min="4900" max="4900" width="13.5703125" style="281" customWidth="1"/>
    <col min="4901" max="4901" width="11.28515625" style="281" customWidth="1"/>
    <col min="4902" max="4902" width="13.28515625" style="281" customWidth="1"/>
    <col min="4903" max="4903" width="11.28515625" style="281" customWidth="1"/>
    <col min="4904" max="4933" width="0" style="281" hidden="1" customWidth="1"/>
    <col min="4934" max="4934" width="12.7109375" style="281" customWidth="1"/>
    <col min="4935" max="4935" width="13.140625" style="281" customWidth="1"/>
    <col min="4936" max="4936" width="11.28515625" style="281" customWidth="1"/>
    <col min="4937" max="4937" width="12.7109375" style="281" customWidth="1"/>
    <col min="4938" max="4938" width="12.5703125" style="281" customWidth="1"/>
    <col min="4939" max="4939" width="3.28515625" style="281" customWidth="1"/>
    <col min="4940" max="4940" width="0" style="281" hidden="1" customWidth="1"/>
    <col min="4941" max="4941" width="3.28515625" style="281" customWidth="1"/>
    <col min="4942" max="4942" width="9.85546875" style="281" bestFit="1" customWidth="1"/>
    <col min="4943" max="4943" width="9.5703125" style="281" bestFit="1" customWidth="1"/>
    <col min="4944" max="5120" width="9.140625" style="281"/>
    <col min="5121" max="5121" width="2.85546875" style="281" customWidth="1"/>
    <col min="5122" max="5122" width="3.28515625" style="281" customWidth="1"/>
    <col min="5123" max="5123" width="69.28515625" style="281" customWidth="1"/>
    <col min="5124" max="5124" width="6" style="281" customWidth="1"/>
    <col min="5125" max="5129" width="13.5703125" style="281" customWidth="1"/>
    <col min="5130" max="5154" width="0" style="281" hidden="1" customWidth="1"/>
    <col min="5155" max="5155" width="11.28515625" style="281" customWidth="1"/>
    <col min="5156" max="5156" width="13.5703125" style="281" customWidth="1"/>
    <col min="5157" max="5157" width="11.28515625" style="281" customWidth="1"/>
    <col min="5158" max="5158" width="13.28515625" style="281" customWidth="1"/>
    <col min="5159" max="5159" width="11.28515625" style="281" customWidth="1"/>
    <col min="5160" max="5189" width="0" style="281" hidden="1" customWidth="1"/>
    <col min="5190" max="5190" width="12.7109375" style="281" customWidth="1"/>
    <col min="5191" max="5191" width="13.140625" style="281" customWidth="1"/>
    <col min="5192" max="5192" width="11.28515625" style="281" customWidth="1"/>
    <col min="5193" max="5193" width="12.7109375" style="281" customWidth="1"/>
    <col min="5194" max="5194" width="12.5703125" style="281" customWidth="1"/>
    <col min="5195" max="5195" width="3.28515625" style="281" customWidth="1"/>
    <col min="5196" max="5196" width="0" style="281" hidden="1" customWidth="1"/>
    <col min="5197" max="5197" width="3.28515625" style="281" customWidth="1"/>
    <col min="5198" max="5198" width="9.85546875" style="281" bestFit="1" customWidth="1"/>
    <col min="5199" max="5199" width="9.5703125" style="281" bestFit="1" customWidth="1"/>
    <col min="5200" max="5376" width="9.140625" style="281"/>
    <col min="5377" max="5377" width="2.85546875" style="281" customWidth="1"/>
    <col min="5378" max="5378" width="3.28515625" style="281" customWidth="1"/>
    <col min="5379" max="5379" width="69.28515625" style="281" customWidth="1"/>
    <col min="5380" max="5380" width="6" style="281" customWidth="1"/>
    <col min="5381" max="5385" width="13.5703125" style="281" customWidth="1"/>
    <col min="5386" max="5410" width="0" style="281" hidden="1" customWidth="1"/>
    <col min="5411" max="5411" width="11.28515625" style="281" customWidth="1"/>
    <col min="5412" max="5412" width="13.5703125" style="281" customWidth="1"/>
    <col min="5413" max="5413" width="11.28515625" style="281" customWidth="1"/>
    <col min="5414" max="5414" width="13.28515625" style="281" customWidth="1"/>
    <col min="5415" max="5415" width="11.28515625" style="281" customWidth="1"/>
    <col min="5416" max="5445" width="0" style="281" hidden="1" customWidth="1"/>
    <col min="5446" max="5446" width="12.7109375" style="281" customWidth="1"/>
    <col min="5447" max="5447" width="13.140625" style="281" customWidth="1"/>
    <col min="5448" max="5448" width="11.28515625" style="281" customWidth="1"/>
    <col min="5449" max="5449" width="12.7109375" style="281" customWidth="1"/>
    <col min="5450" max="5450" width="12.5703125" style="281" customWidth="1"/>
    <col min="5451" max="5451" width="3.28515625" style="281" customWidth="1"/>
    <col min="5452" max="5452" width="0" style="281" hidden="1" customWidth="1"/>
    <col min="5453" max="5453" width="3.28515625" style="281" customWidth="1"/>
    <col min="5454" max="5454" width="9.85546875" style="281" bestFit="1" customWidth="1"/>
    <col min="5455" max="5455" width="9.5703125" style="281" bestFit="1" customWidth="1"/>
    <col min="5456" max="5632" width="9.140625" style="281"/>
    <col min="5633" max="5633" width="2.85546875" style="281" customWidth="1"/>
    <col min="5634" max="5634" width="3.28515625" style="281" customWidth="1"/>
    <col min="5635" max="5635" width="69.28515625" style="281" customWidth="1"/>
    <col min="5636" max="5636" width="6" style="281" customWidth="1"/>
    <col min="5637" max="5641" width="13.5703125" style="281" customWidth="1"/>
    <col min="5642" max="5666" width="0" style="281" hidden="1" customWidth="1"/>
    <col min="5667" max="5667" width="11.28515625" style="281" customWidth="1"/>
    <col min="5668" max="5668" width="13.5703125" style="281" customWidth="1"/>
    <col min="5669" max="5669" width="11.28515625" style="281" customWidth="1"/>
    <col min="5670" max="5670" width="13.28515625" style="281" customWidth="1"/>
    <col min="5671" max="5671" width="11.28515625" style="281" customWidth="1"/>
    <col min="5672" max="5701" width="0" style="281" hidden="1" customWidth="1"/>
    <col min="5702" max="5702" width="12.7109375" style="281" customWidth="1"/>
    <col min="5703" max="5703" width="13.140625" style="281" customWidth="1"/>
    <col min="5704" max="5704" width="11.28515625" style="281" customWidth="1"/>
    <col min="5705" max="5705" width="12.7109375" style="281" customWidth="1"/>
    <col min="5706" max="5706" width="12.5703125" style="281" customWidth="1"/>
    <col min="5707" max="5707" width="3.28515625" style="281" customWidth="1"/>
    <col min="5708" max="5708" width="0" style="281" hidden="1" customWidth="1"/>
    <col min="5709" max="5709" width="3.28515625" style="281" customWidth="1"/>
    <col min="5710" max="5710" width="9.85546875" style="281" bestFit="1" customWidth="1"/>
    <col min="5711" max="5711" width="9.5703125" style="281" bestFit="1" customWidth="1"/>
    <col min="5712" max="5888" width="9.140625" style="281"/>
    <col min="5889" max="5889" width="2.85546875" style="281" customWidth="1"/>
    <col min="5890" max="5890" width="3.28515625" style="281" customWidth="1"/>
    <col min="5891" max="5891" width="69.28515625" style="281" customWidth="1"/>
    <col min="5892" max="5892" width="6" style="281" customWidth="1"/>
    <col min="5893" max="5897" width="13.5703125" style="281" customWidth="1"/>
    <col min="5898" max="5922" width="0" style="281" hidden="1" customWidth="1"/>
    <col min="5923" max="5923" width="11.28515625" style="281" customWidth="1"/>
    <col min="5924" max="5924" width="13.5703125" style="281" customWidth="1"/>
    <col min="5925" max="5925" width="11.28515625" style="281" customWidth="1"/>
    <col min="5926" max="5926" width="13.28515625" style="281" customWidth="1"/>
    <col min="5927" max="5927" width="11.28515625" style="281" customWidth="1"/>
    <col min="5928" max="5957" width="0" style="281" hidden="1" customWidth="1"/>
    <col min="5958" max="5958" width="12.7109375" style="281" customWidth="1"/>
    <col min="5959" max="5959" width="13.140625" style="281" customWidth="1"/>
    <col min="5960" max="5960" width="11.28515625" style="281" customWidth="1"/>
    <col min="5961" max="5961" width="12.7109375" style="281" customWidth="1"/>
    <col min="5962" max="5962" width="12.5703125" style="281" customWidth="1"/>
    <col min="5963" max="5963" width="3.28515625" style="281" customWidth="1"/>
    <col min="5964" max="5964" width="0" style="281" hidden="1" customWidth="1"/>
    <col min="5965" max="5965" width="3.28515625" style="281" customWidth="1"/>
    <col min="5966" max="5966" width="9.85546875" style="281" bestFit="1" customWidth="1"/>
    <col min="5967" max="5967" width="9.5703125" style="281" bestFit="1" customWidth="1"/>
    <col min="5968" max="6144" width="9.140625" style="281"/>
    <col min="6145" max="6145" width="2.85546875" style="281" customWidth="1"/>
    <col min="6146" max="6146" width="3.28515625" style="281" customWidth="1"/>
    <col min="6147" max="6147" width="69.28515625" style="281" customWidth="1"/>
    <col min="6148" max="6148" width="6" style="281" customWidth="1"/>
    <col min="6149" max="6153" width="13.5703125" style="281" customWidth="1"/>
    <col min="6154" max="6178" width="0" style="281" hidden="1" customWidth="1"/>
    <col min="6179" max="6179" width="11.28515625" style="281" customWidth="1"/>
    <col min="6180" max="6180" width="13.5703125" style="281" customWidth="1"/>
    <col min="6181" max="6181" width="11.28515625" style="281" customWidth="1"/>
    <col min="6182" max="6182" width="13.28515625" style="281" customWidth="1"/>
    <col min="6183" max="6183" width="11.28515625" style="281" customWidth="1"/>
    <col min="6184" max="6213" width="0" style="281" hidden="1" customWidth="1"/>
    <col min="6214" max="6214" width="12.7109375" style="281" customWidth="1"/>
    <col min="6215" max="6215" width="13.140625" style="281" customWidth="1"/>
    <col min="6216" max="6216" width="11.28515625" style="281" customWidth="1"/>
    <col min="6217" max="6217" width="12.7109375" style="281" customWidth="1"/>
    <col min="6218" max="6218" width="12.5703125" style="281" customWidth="1"/>
    <col min="6219" max="6219" width="3.28515625" style="281" customWidth="1"/>
    <col min="6220" max="6220" width="0" style="281" hidden="1" customWidth="1"/>
    <col min="6221" max="6221" width="3.28515625" style="281" customWidth="1"/>
    <col min="6222" max="6222" width="9.85546875" style="281" bestFit="1" customWidth="1"/>
    <col min="6223" max="6223" width="9.5703125" style="281" bestFit="1" customWidth="1"/>
    <col min="6224" max="6400" width="9.140625" style="281"/>
    <col min="6401" max="6401" width="2.85546875" style="281" customWidth="1"/>
    <col min="6402" max="6402" width="3.28515625" style="281" customWidth="1"/>
    <col min="6403" max="6403" width="69.28515625" style="281" customWidth="1"/>
    <col min="6404" max="6404" width="6" style="281" customWidth="1"/>
    <col min="6405" max="6409" width="13.5703125" style="281" customWidth="1"/>
    <col min="6410" max="6434" width="0" style="281" hidden="1" customWidth="1"/>
    <col min="6435" max="6435" width="11.28515625" style="281" customWidth="1"/>
    <col min="6436" max="6436" width="13.5703125" style="281" customWidth="1"/>
    <col min="6437" max="6437" width="11.28515625" style="281" customWidth="1"/>
    <col min="6438" max="6438" width="13.28515625" style="281" customWidth="1"/>
    <col min="6439" max="6439" width="11.28515625" style="281" customWidth="1"/>
    <col min="6440" max="6469" width="0" style="281" hidden="1" customWidth="1"/>
    <col min="6470" max="6470" width="12.7109375" style="281" customWidth="1"/>
    <col min="6471" max="6471" width="13.140625" style="281" customWidth="1"/>
    <col min="6472" max="6472" width="11.28515625" style="281" customWidth="1"/>
    <col min="6473" max="6473" width="12.7109375" style="281" customWidth="1"/>
    <col min="6474" max="6474" width="12.5703125" style="281" customWidth="1"/>
    <col min="6475" max="6475" width="3.28515625" style="281" customWidth="1"/>
    <col min="6476" max="6476" width="0" style="281" hidden="1" customWidth="1"/>
    <col min="6477" max="6477" width="3.28515625" style="281" customWidth="1"/>
    <col min="6478" max="6478" width="9.85546875" style="281" bestFit="1" customWidth="1"/>
    <col min="6479" max="6479" width="9.5703125" style="281" bestFit="1" customWidth="1"/>
    <col min="6480" max="6656" width="9.140625" style="281"/>
    <col min="6657" max="6657" width="2.85546875" style="281" customWidth="1"/>
    <col min="6658" max="6658" width="3.28515625" style="281" customWidth="1"/>
    <col min="6659" max="6659" width="69.28515625" style="281" customWidth="1"/>
    <col min="6660" max="6660" width="6" style="281" customWidth="1"/>
    <col min="6661" max="6665" width="13.5703125" style="281" customWidth="1"/>
    <col min="6666" max="6690" width="0" style="281" hidden="1" customWidth="1"/>
    <col min="6691" max="6691" width="11.28515625" style="281" customWidth="1"/>
    <col min="6692" max="6692" width="13.5703125" style="281" customWidth="1"/>
    <col min="6693" max="6693" width="11.28515625" style="281" customWidth="1"/>
    <col min="6694" max="6694" width="13.28515625" style="281" customWidth="1"/>
    <col min="6695" max="6695" width="11.28515625" style="281" customWidth="1"/>
    <col min="6696" max="6725" width="0" style="281" hidden="1" customWidth="1"/>
    <col min="6726" max="6726" width="12.7109375" style="281" customWidth="1"/>
    <col min="6727" max="6727" width="13.140625" style="281" customWidth="1"/>
    <col min="6728" max="6728" width="11.28515625" style="281" customWidth="1"/>
    <col min="6729" max="6729" width="12.7109375" style="281" customWidth="1"/>
    <col min="6730" max="6730" width="12.5703125" style="281" customWidth="1"/>
    <col min="6731" max="6731" width="3.28515625" style="281" customWidth="1"/>
    <col min="6732" max="6732" width="0" style="281" hidden="1" customWidth="1"/>
    <col min="6733" max="6733" width="3.28515625" style="281" customWidth="1"/>
    <col min="6734" max="6734" width="9.85546875" style="281" bestFit="1" customWidth="1"/>
    <col min="6735" max="6735" width="9.5703125" style="281" bestFit="1" customWidth="1"/>
    <col min="6736" max="6912" width="9.140625" style="281"/>
    <col min="6913" max="6913" width="2.85546875" style="281" customWidth="1"/>
    <col min="6914" max="6914" width="3.28515625" style="281" customWidth="1"/>
    <col min="6915" max="6915" width="69.28515625" style="281" customWidth="1"/>
    <col min="6916" max="6916" width="6" style="281" customWidth="1"/>
    <col min="6917" max="6921" width="13.5703125" style="281" customWidth="1"/>
    <col min="6922" max="6946" width="0" style="281" hidden="1" customWidth="1"/>
    <col min="6947" max="6947" width="11.28515625" style="281" customWidth="1"/>
    <col min="6948" max="6948" width="13.5703125" style="281" customWidth="1"/>
    <col min="6949" max="6949" width="11.28515625" style="281" customWidth="1"/>
    <col min="6950" max="6950" width="13.28515625" style="281" customWidth="1"/>
    <col min="6951" max="6951" width="11.28515625" style="281" customWidth="1"/>
    <col min="6952" max="6981" width="0" style="281" hidden="1" customWidth="1"/>
    <col min="6982" max="6982" width="12.7109375" style="281" customWidth="1"/>
    <col min="6983" max="6983" width="13.140625" style="281" customWidth="1"/>
    <col min="6984" max="6984" width="11.28515625" style="281" customWidth="1"/>
    <col min="6985" max="6985" width="12.7109375" style="281" customWidth="1"/>
    <col min="6986" max="6986" width="12.5703125" style="281" customWidth="1"/>
    <col min="6987" max="6987" width="3.28515625" style="281" customWidth="1"/>
    <col min="6988" max="6988" width="0" style="281" hidden="1" customWidth="1"/>
    <col min="6989" max="6989" width="3.28515625" style="281" customWidth="1"/>
    <col min="6990" max="6990" width="9.85546875" style="281" bestFit="1" customWidth="1"/>
    <col min="6991" max="6991" width="9.5703125" style="281" bestFit="1" customWidth="1"/>
    <col min="6992" max="7168" width="9.140625" style="281"/>
    <col min="7169" max="7169" width="2.85546875" style="281" customWidth="1"/>
    <col min="7170" max="7170" width="3.28515625" style="281" customWidth="1"/>
    <col min="7171" max="7171" width="69.28515625" style="281" customWidth="1"/>
    <col min="7172" max="7172" width="6" style="281" customWidth="1"/>
    <col min="7173" max="7177" width="13.5703125" style="281" customWidth="1"/>
    <col min="7178" max="7202" width="0" style="281" hidden="1" customWidth="1"/>
    <col min="7203" max="7203" width="11.28515625" style="281" customWidth="1"/>
    <col min="7204" max="7204" width="13.5703125" style="281" customWidth="1"/>
    <col min="7205" max="7205" width="11.28515625" style="281" customWidth="1"/>
    <col min="7206" max="7206" width="13.28515625" style="281" customWidth="1"/>
    <col min="7207" max="7207" width="11.28515625" style="281" customWidth="1"/>
    <col min="7208" max="7237" width="0" style="281" hidden="1" customWidth="1"/>
    <col min="7238" max="7238" width="12.7109375" style="281" customWidth="1"/>
    <col min="7239" max="7239" width="13.140625" style="281" customWidth="1"/>
    <col min="7240" max="7240" width="11.28515625" style="281" customWidth="1"/>
    <col min="7241" max="7241" width="12.7109375" style="281" customWidth="1"/>
    <col min="7242" max="7242" width="12.5703125" style="281" customWidth="1"/>
    <col min="7243" max="7243" width="3.28515625" style="281" customWidth="1"/>
    <col min="7244" max="7244" width="0" style="281" hidden="1" customWidth="1"/>
    <col min="7245" max="7245" width="3.28515625" style="281" customWidth="1"/>
    <col min="7246" max="7246" width="9.85546875" style="281" bestFit="1" customWidth="1"/>
    <col min="7247" max="7247" width="9.5703125" style="281" bestFit="1" customWidth="1"/>
    <col min="7248" max="7424" width="9.140625" style="281"/>
    <col min="7425" max="7425" width="2.85546875" style="281" customWidth="1"/>
    <col min="7426" max="7426" width="3.28515625" style="281" customWidth="1"/>
    <col min="7427" max="7427" width="69.28515625" style="281" customWidth="1"/>
    <col min="7428" max="7428" width="6" style="281" customWidth="1"/>
    <col min="7429" max="7433" width="13.5703125" style="281" customWidth="1"/>
    <col min="7434" max="7458" width="0" style="281" hidden="1" customWidth="1"/>
    <col min="7459" max="7459" width="11.28515625" style="281" customWidth="1"/>
    <col min="7460" max="7460" width="13.5703125" style="281" customWidth="1"/>
    <col min="7461" max="7461" width="11.28515625" style="281" customWidth="1"/>
    <col min="7462" max="7462" width="13.28515625" style="281" customWidth="1"/>
    <col min="7463" max="7463" width="11.28515625" style="281" customWidth="1"/>
    <col min="7464" max="7493" width="0" style="281" hidden="1" customWidth="1"/>
    <col min="7494" max="7494" width="12.7109375" style="281" customWidth="1"/>
    <col min="7495" max="7495" width="13.140625" style="281" customWidth="1"/>
    <col min="7496" max="7496" width="11.28515625" style="281" customWidth="1"/>
    <col min="7497" max="7497" width="12.7109375" style="281" customWidth="1"/>
    <col min="7498" max="7498" width="12.5703125" style="281" customWidth="1"/>
    <col min="7499" max="7499" width="3.28515625" style="281" customWidth="1"/>
    <col min="7500" max="7500" width="0" style="281" hidden="1" customWidth="1"/>
    <col min="7501" max="7501" width="3.28515625" style="281" customWidth="1"/>
    <col min="7502" max="7502" width="9.85546875" style="281" bestFit="1" customWidth="1"/>
    <col min="7503" max="7503" width="9.5703125" style="281" bestFit="1" customWidth="1"/>
    <col min="7504" max="7680" width="9.140625" style="281"/>
    <col min="7681" max="7681" width="2.85546875" style="281" customWidth="1"/>
    <col min="7682" max="7682" width="3.28515625" style="281" customWidth="1"/>
    <col min="7683" max="7683" width="69.28515625" style="281" customWidth="1"/>
    <col min="7684" max="7684" width="6" style="281" customWidth="1"/>
    <col min="7685" max="7689" width="13.5703125" style="281" customWidth="1"/>
    <col min="7690" max="7714" width="0" style="281" hidden="1" customWidth="1"/>
    <col min="7715" max="7715" width="11.28515625" style="281" customWidth="1"/>
    <col min="7716" max="7716" width="13.5703125" style="281" customWidth="1"/>
    <col min="7717" max="7717" width="11.28515625" style="281" customWidth="1"/>
    <col min="7718" max="7718" width="13.28515625" style="281" customWidth="1"/>
    <col min="7719" max="7719" width="11.28515625" style="281" customWidth="1"/>
    <col min="7720" max="7749" width="0" style="281" hidden="1" customWidth="1"/>
    <col min="7750" max="7750" width="12.7109375" style="281" customWidth="1"/>
    <col min="7751" max="7751" width="13.140625" style="281" customWidth="1"/>
    <col min="7752" max="7752" width="11.28515625" style="281" customWidth="1"/>
    <col min="7753" max="7753" width="12.7109375" style="281" customWidth="1"/>
    <col min="7754" max="7754" width="12.5703125" style="281" customWidth="1"/>
    <col min="7755" max="7755" width="3.28515625" style="281" customWidth="1"/>
    <col min="7756" max="7756" width="0" style="281" hidden="1" customWidth="1"/>
    <col min="7757" max="7757" width="3.28515625" style="281" customWidth="1"/>
    <col min="7758" max="7758" width="9.85546875" style="281" bestFit="1" customWidth="1"/>
    <col min="7759" max="7759" width="9.5703125" style="281" bestFit="1" customWidth="1"/>
    <col min="7760" max="7936" width="9.140625" style="281"/>
    <col min="7937" max="7937" width="2.85546875" style="281" customWidth="1"/>
    <col min="7938" max="7938" width="3.28515625" style="281" customWidth="1"/>
    <col min="7939" max="7939" width="69.28515625" style="281" customWidth="1"/>
    <col min="7940" max="7940" width="6" style="281" customWidth="1"/>
    <col min="7941" max="7945" width="13.5703125" style="281" customWidth="1"/>
    <col min="7946" max="7970" width="0" style="281" hidden="1" customWidth="1"/>
    <col min="7971" max="7971" width="11.28515625" style="281" customWidth="1"/>
    <col min="7972" max="7972" width="13.5703125" style="281" customWidth="1"/>
    <col min="7973" max="7973" width="11.28515625" style="281" customWidth="1"/>
    <col min="7974" max="7974" width="13.28515625" style="281" customWidth="1"/>
    <col min="7975" max="7975" width="11.28515625" style="281" customWidth="1"/>
    <col min="7976" max="8005" width="0" style="281" hidden="1" customWidth="1"/>
    <col min="8006" max="8006" width="12.7109375" style="281" customWidth="1"/>
    <col min="8007" max="8007" width="13.140625" style="281" customWidth="1"/>
    <col min="8008" max="8008" width="11.28515625" style="281" customWidth="1"/>
    <col min="8009" max="8009" width="12.7109375" style="281" customWidth="1"/>
    <col min="8010" max="8010" width="12.5703125" style="281" customWidth="1"/>
    <col min="8011" max="8011" width="3.28515625" style="281" customWidth="1"/>
    <col min="8012" max="8012" width="0" style="281" hidden="1" customWidth="1"/>
    <col min="8013" max="8013" width="3.28515625" style="281" customWidth="1"/>
    <col min="8014" max="8014" width="9.85546875" style="281" bestFit="1" customWidth="1"/>
    <col min="8015" max="8015" width="9.5703125" style="281" bestFit="1" customWidth="1"/>
    <col min="8016" max="8192" width="9.140625" style="281"/>
    <col min="8193" max="8193" width="2.85546875" style="281" customWidth="1"/>
    <col min="8194" max="8194" width="3.28515625" style="281" customWidth="1"/>
    <col min="8195" max="8195" width="69.28515625" style="281" customWidth="1"/>
    <col min="8196" max="8196" width="6" style="281" customWidth="1"/>
    <col min="8197" max="8201" width="13.5703125" style="281" customWidth="1"/>
    <col min="8202" max="8226" width="0" style="281" hidden="1" customWidth="1"/>
    <col min="8227" max="8227" width="11.28515625" style="281" customWidth="1"/>
    <col min="8228" max="8228" width="13.5703125" style="281" customWidth="1"/>
    <col min="8229" max="8229" width="11.28515625" style="281" customWidth="1"/>
    <col min="8230" max="8230" width="13.28515625" style="281" customWidth="1"/>
    <col min="8231" max="8231" width="11.28515625" style="281" customWidth="1"/>
    <col min="8232" max="8261" width="0" style="281" hidden="1" customWidth="1"/>
    <col min="8262" max="8262" width="12.7109375" style="281" customWidth="1"/>
    <col min="8263" max="8263" width="13.140625" style="281" customWidth="1"/>
    <col min="8264" max="8264" width="11.28515625" style="281" customWidth="1"/>
    <col min="8265" max="8265" width="12.7109375" style="281" customWidth="1"/>
    <col min="8266" max="8266" width="12.5703125" style="281" customWidth="1"/>
    <col min="8267" max="8267" width="3.28515625" style="281" customWidth="1"/>
    <col min="8268" max="8268" width="0" style="281" hidden="1" customWidth="1"/>
    <col min="8269" max="8269" width="3.28515625" style="281" customWidth="1"/>
    <col min="8270" max="8270" width="9.85546875" style="281" bestFit="1" customWidth="1"/>
    <col min="8271" max="8271" width="9.5703125" style="281" bestFit="1" customWidth="1"/>
    <col min="8272" max="8448" width="9.140625" style="281"/>
    <col min="8449" max="8449" width="2.85546875" style="281" customWidth="1"/>
    <col min="8450" max="8450" width="3.28515625" style="281" customWidth="1"/>
    <col min="8451" max="8451" width="69.28515625" style="281" customWidth="1"/>
    <col min="8452" max="8452" width="6" style="281" customWidth="1"/>
    <col min="8453" max="8457" width="13.5703125" style="281" customWidth="1"/>
    <col min="8458" max="8482" width="0" style="281" hidden="1" customWidth="1"/>
    <col min="8483" max="8483" width="11.28515625" style="281" customWidth="1"/>
    <col min="8484" max="8484" width="13.5703125" style="281" customWidth="1"/>
    <col min="8485" max="8485" width="11.28515625" style="281" customWidth="1"/>
    <col min="8486" max="8486" width="13.28515625" style="281" customWidth="1"/>
    <col min="8487" max="8487" width="11.28515625" style="281" customWidth="1"/>
    <col min="8488" max="8517" width="0" style="281" hidden="1" customWidth="1"/>
    <col min="8518" max="8518" width="12.7109375" style="281" customWidth="1"/>
    <col min="8519" max="8519" width="13.140625" style="281" customWidth="1"/>
    <col min="8520" max="8520" width="11.28515625" style="281" customWidth="1"/>
    <col min="8521" max="8521" width="12.7109375" style="281" customWidth="1"/>
    <col min="8522" max="8522" width="12.5703125" style="281" customWidth="1"/>
    <col min="8523" max="8523" width="3.28515625" style="281" customWidth="1"/>
    <col min="8524" max="8524" width="0" style="281" hidden="1" customWidth="1"/>
    <col min="8525" max="8525" width="3.28515625" style="281" customWidth="1"/>
    <col min="8526" max="8526" width="9.85546875" style="281" bestFit="1" customWidth="1"/>
    <col min="8527" max="8527" width="9.5703125" style="281" bestFit="1" customWidth="1"/>
    <col min="8528" max="8704" width="9.140625" style="281"/>
    <col min="8705" max="8705" width="2.85546875" style="281" customWidth="1"/>
    <col min="8706" max="8706" width="3.28515625" style="281" customWidth="1"/>
    <col min="8707" max="8707" width="69.28515625" style="281" customWidth="1"/>
    <col min="8708" max="8708" width="6" style="281" customWidth="1"/>
    <col min="8709" max="8713" width="13.5703125" style="281" customWidth="1"/>
    <col min="8714" max="8738" width="0" style="281" hidden="1" customWidth="1"/>
    <col min="8739" max="8739" width="11.28515625" style="281" customWidth="1"/>
    <col min="8740" max="8740" width="13.5703125" style="281" customWidth="1"/>
    <col min="8741" max="8741" width="11.28515625" style="281" customWidth="1"/>
    <col min="8742" max="8742" width="13.28515625" style="281" customWidth="1"/>
    <col min="8743" max="8743" width="11.28515625" style="281" customWidth="1"/>
    <col min="8744" max="8773" width="0" style="281" hidden="1" customWidth="1"/>
    <col min="8774" max="8774" width="12.7109375" style="281" customWidth="1"/>
    <col min="8775" max="8775" width="13.140625" style="281" customWidth="1"/>
    <col min="8776" max="8776" width="11.28515625" style="281" customWidth="1"/>
    <col min="8777" max="8777" width="12.7109375" style="281" customWidth="1"/>
    <col min="8778" max="8778" width="12.5703125" style="281" customWidth="1"/>
    <col min="8779" max="8779" width="3.28515625" style="281" customWidth="1"/>
    <col min="8780" max="8780" width="0" style="281" hidden="1" customWidth="1"/>
    <col min="8781" max="8781" width="3.28515625" style="281" customWidth="1"/>
    <col min="8782" max="8782" width="9.85546875" style="281" bestFit="1" customWidth="1"/>
    <col min="8783" max="8783" width="9.5703125" style="281" bestFit="1" customWidth="1"/>
    <col min="8784" max="8960" width="9.140625" style="281"/>
    <col min="8961" max="8961" width="2.85546875" style="281" customWidth="1"/>
    <col min="8962" max="8962" width="3.28515625" style="281" customWidth="1"/>
    <col min="8963" max="8963" width="69.28515625" style="281" customWidth="1"/>
    <col min="8964" max="8964" width="6" style="281" customWidth="1"/>
    <col min="8965" max="8969" width="13.5703125" style="281" customWidth="1"/>
    <col min="8970" max="8994" width="0" style="281" hidden="1" customWidth="1"/>
    <col min="8995" max="8995" width="11.28515625" style="281" customWidth="1"/>
    <col min="8996" max="8996" width="13.5703125" style="281" customWidth="1"/>
    <col min="8997" max="8997" width="11.28515625" style="281" customWidth="1"/>
    <col min="8998" max="8998" width="13.28515625" style="281" customWidth="1"/>
    <col min="8999" max="8999" width="11.28515625" style="281" customWidth="1"/>
    <col min="9000" max="9029" width="0" style="281" hidden="1" customWidth="1"/>
    <col min="9030" max="9030" width="12.7109375" style="281" customWidth="1"/>
    <col min="9031" max="9031" width="13.140625" style="281" customWidth="1"/>
    <col min="9032" max="9032" width="11.28515625" style="281" customWidth="1"/>
    <col min="9033" max="9033" width="12.7109375" style="281" customWidth="1"/>
    <col min="9034" max="9034" width="12.5703125" style="281" customWidth="1"/>
    <col min="9035" max="9035" width="3.28515625" style="281" customWidth="1"/>
    <col min="9036" max="9036" width="0" style="281" hidden="1" customWidth="1"/>
    <col min="9037" max="9037" width="3.28515625" style="281" customWidth="1"/>
    <col min="9038" max="9038" width="9.85546875" style="281" bestFit="1" customWidth="1"/>
    <col min="9039" max="9039" width="9.5703125" style="281" bestFit="1" customWidth="1"/>
    <col min="9040" max="9216" width="9.140625" style="281"/>
    <col min="9217" max="9217" width="2.85546875" style="281" customWidth="1"/>
    <col min="9218" max="9218" width="3.28515625" style="281" customWidth="1"/>
    <col min="9219" max="9219" width="69.28515625" style="281" customWidth="1"/>
    <col min="9220" max="9220" width="6" style="281" customWidth="1"/>
    <col min="9221" max="9225" width="13.5703125" style="281" customWidth="1"/>
    <col min="9226" max="9250" width="0" style="281" hidden="1" customWidth="1"/>
    <col min="9251" max="9251" width="11.28515625" style="281" customWidth="1"/>
    <col min="9252" max="9252" width="13.5703125" style="281" customWidth="1"/>
    <col min="9253" max="9253" width="11.28515625" style="281" customWidth="1"/>
    <col min="9254" max="9254" width="13.28515625" style="281" customWidth="1"/>
    <col min="9255" max="9255" width="11.28515625" style="281" customWidth="1"/>
    <col min="9256" max="9285" width="0" style="281" hidden="1" customWidth="1"/>
    <col min="9286" max="9286" width="12.7109375" style="281" customWidth="1"/>
    <col min="9287" max="9287" width="13.140625" style="281" customWidth="1"/>
    <col min="9288" max="9288" width="11.28515625" style="281" customWidth="1"/>
    <col min="9289" max="9289" width="12.7109375" style="281" customWidth="1"/>
    <col min="9290" max="9290" width="12.5703125" style="281" customWidth="1"/>
    <col min="9291" max="9291" width="3.28515625" style="281" customWidth="1"/>
    <col min="9292" max="9292" width="0" style="281" hidden="1" customWidth="1"/>
    <col min="9293" max="9293" width="3.28515625" style="281" customWidth="1"/>
    <col min="9294" max="9294" width="9.85546875" style="281" bestFit="1" customWidth="1"/>
    <col min="9295" max="9295" width="9.5703125" style="281" bestFit="1" customWidth="1"/>
    <col min="9296" max="9472" width="9.140625" style="281"/>
    <col min="9473" max="9473" width="2.85546875" style="281" customWidth="1"/>
    <col min="9474" max="9474" width="3.28515625" style="281" customWidth="1"/>
    <col min="9475" max="9475" width="69.28515625" style="281" customWidth="1"/>
    <col min="9476" max="9476" width="6" style="281" customWidth="1"/>
    <col min="9477" max="9481" width="13.5703125" style="281" customWidth="1"/>
    <col min="9482" max="9506" width="0" style="281" hidden="1" customWidth="1"/>
    <col min="9507" max="9507" width="11.28515625" style="281" customWidth="1"/>
    <col min="9508" max="9508" width="13.5703125" style="281" customWidth="1"/>
    <col min="9509" max="9509" width="11.28515625" style="281" customWidth="1"/>
    <col min="9510" max="9510" width="13.28515625" style="281" customWidth="1"/>
    <col min="9511" max="9511" width="11.28515625" style="281" customWidth="1"/>
    <col min="9512" max="9541" width="0" style="281" hidden="1" customWidth="1"/>
    <col min="9542" max="9542" width="12.7109375" style="281" customWidth="1"/>
    <col min="9543" max="9543" width="13.140625" style="281" customWidth="1"/>
    <col min="9544" max="9544" width="11.28515625" style="281" customWidth="1"/>
    <col min="9545" max="9545" width="12.7109375" style="281" customWidth="1"/>
    <col min="9546" max="9546" width="12.5703125" style="281" customWidth="1"/>
    <col min="9547" max="9547" width="3.28515625" style="281" customWidth="1"/>
    <col min="9548" max="9548" width="0" style="281" hidden="1" customWidth="1"/>
    <col min="9549" max="9549" width="3.28515625" style="281" customWidth="1"/>
    <col min="9550" max="9550" width="9.85546875" style="281" bestFit="1" customWidth="1"/>
    <col min="9551" max="9551" width="9.5703125" style="281" bestFit="1" customWidth="1"/>
    <col min="9552" max="9728" width="9.140625" style="281"/>
    <col min="9729" max="9729" width="2.85546875" style="281" customWidth="1"/>
    <col min="9730" max="9730" width="3.28515625" style="281" customWidth="1"/>
    <col min="9731" max="9731" width="69.28515625" style="281" customWidth="1"/>
    <col min="9732" max="9732" width="6" style="281" customWidth="1"/>
    <col min="9733" max="9737" width="13.5703125" style="281" customWidth="1"/>
    <col min="9738" max="9762" width="0" style="281" hidden="1" customWidth="1"/>
    <col min="9763" max="9763" width="11.28515625" style="281" customWidth="1"/>
    <col min="9764" max="9764" width="13.5703125" style="281" customWidth="1"/>
    <col min="9765" max="9765" width="11.28515625" style="281" customWidth="1"/>
    <col min="9766" max="9766" width="13.28515625" style="281" customWidth="1"/>
    <col min="9767" max="9767" width="11.28515625" style="281" customWidth="1"/>
    <col min="9768" max="9797" width="0" style="281" hidden="1" customWidth="1"/>
    <col min="9798" max="9798" width="12.7109375" style="281" customWidth="1"/>
    <col min="9799" max="9799" width="13.140625" style="281" customWidth="1"/>
    <col min="9800" max="9800" width="11.28515625" style="281" customWidth="1"/>
    <col min="9801" max="9801" width="12.7109375" style="281" customWidth="1"/>
    <col min="9802" max="9802" width="12.5703125" style="281" customWidth="1"/>
    <col min="9803" max="9803" width="3.28515625" style="281" customWidth="1"/>
    <col min="9804" max="9804" width="0" style="281" hidden="1" customWidth="1"/>
    <col min="9805" max="9805" width="3.28515625" style="281" customWidth="1"/>
    <col min="9806" max="9806" width="9.85546875" style="281" bestFit="1" customWidth="1"/>
    <col min="9807" max="9807" width="9.5703125" style="281" bestFit="1" customWidth="1"/>
    <col min="9808" max="9984" width="9.140625" style="281"/>
    <col min="9985" max="9985" width="2.85546875" style="281" customWidth="1"/>
    <col min="9986" max="9986" width="3.28515625" style="281" customWidth="1"/>
    <col min="9987" max="9987" width="69.28515625" style="281" customWidth="1"/>
    <col min="9988" max="9988" width="6" style="281" customWidth="1"/>
    <col min="9989" max="9993" width="13.5703125" style="281" customWidth="1"/>
    <col min="9994" max="10018" width="0" style="281" hidden="1" customWidth="1"/>
    <col min="10019" max="10019" width="11.28515625" style="281" customWidth="1"/>
    <col min="10020" max="10020" width="13.5703125" style="281" customWidth="1"/>
    <col min="10021" max="10021" width="11.28515625" style="281" customWidth="1"/>
    <col min="10022" max="10022" width="13.28515625" style="281" customWidth="1"/>
    <col min="10023" max="10023" width="11.28515625" style="281" customWidth="1"/>
    <col min="10024" max="10053" width="0" style="281" hidden="1" customWidth="1"/>
    <col min="10054" max="10054" width="12.7109375" style="281" customWidth="1"/>
    <col min="10055" max="10055" width="13.140625" style="281" customWidth="1"/>
    <col min="10056" max="10056" width="11.28515625" style="281" customWidth="1"/>
    <col min="10057" max="10057" width="12.7109375" style="281" customWidth="1"/>
    <col min="10058" max="10058" width="12.5703125" style="281" customWidth="1"/>
    <col min="10059" max="10059" width="3.28515625" style="281" customWidth="1"/>
    <col min="10060" max="10060" width="0" style="281" hidden="1" customWidth="1"/>
    <col min="10061" max="10061" width="3.28515625" style="281" customWidth="1"/>
    <col min="10062" max="10062" width="9.85546875" style="281" bestFit="1" customWidth="1"/>
    <col min="10063" max="10063" width="9.5703125" style="281" bestFit="1" customWidth="1"/>
    <col min="10064" max="10240" width="9.140625" style="281"/>
    <col min="10241" max="10241" width="2.85546875" style="281" customWidth="1"/>
    <col min="10242" max="10242" width="3.28515625" style="281" customWidth="1"/>
    <col min="10243" max="10243" width="69.28515625" style="281" customWidth="1"/>
    <col min="10244" max="10244" width="6" style="281" customWidth="1"/>
    <col min="10245" max="10249" width="13.5703125" style="281" customWidth="1"/>
    <col min="10250" max="10274" width="0" style="281" hidden="1" customWidth="1"/>
    <col min="10275" max="10275" width="11.28515625" style="281" customWidth="1"/>
    <col min="10276" max="10276" width="13.5703125" style="281" customWidth="1"/>
    <col min="10277" max="10277" width="11.28515625" style="281" customWidth="1"/>
    <col min="10278" max="10278" width="13.28515625" style="281" customWidth="1"/>
    <col min="10279" max="10279" width="11.28515625" style="281" customWidth="1"/>
    <col min="10280" max="10309" width="0" style="281" hidden="1" customWidth="1"/>
    <col min="10310" max="10310" width="12.7109375" style="281" customWidth="1"/>
    <col min="10311" max="10311" width="13.140625" style="281" customWidth="1"/>
    <col min="10312" max="10312" width="11.28515625" style="281" customWidth="1"/>
    <col min="10313" max="10313" width="12.7109375" style="281" customWidth="1"/>
    <col min="10314" max="10314" width="12.5703125" style="281" customWidth="1"/>
    <col min="10315" max="10315" width="3.28515625" style="281" customWidth="1"/>
    <col min="10316" max="10316" width="0" style="281" hidden="1" customWidth="1"/>
    <col min="10317" max="10317" width="3.28515625" style="281" customWidth="1"/>
    <col min="10318" max="10318" width="9.85546875" style="281" bestFit="1" customWidth="1"/>
    <col min="10319" max="10319" width="9.5703125" style="281" bestFit="1" customWidth="1"/>
    <col min="10320" max="10496" width="9.140625" style="281"/>
    <col min="10497" max="10497" width="2.85546875" style="281" customWidth="1"/>
    <col min="10498" max="10498" width="3.28515625" style="281" customWidth="1"/>
    <col min="10499" max="10499" width="69.28515625" style="281" customWidth="1"/>
    <col min="10500" max="10500" width="6" style="281" customWidth="1"/>
    <col min="10501" max="10505" width="13.5703125" style="281" customWidth="1"/>
    <col min="10506" max="10530" width="0" style="281" hidden="1" customWidth="1"/>
    <col min="10531" max="10531" width="11.28515625" style="281" customWidth="1"/>
    <col min="10532" max="10532" width="13.5703125" style="281" customWidth="1"/>
    <col min="10533" max="10533" width="11.28515625" style="281" customWidth="1"/>
    <col min="10534" max="10534" width="13.28515625" style="281" customWidth="1"/>
    <col min="10535" max="10535" width="11.28515625" style="281" customWidth="1"/>
    <col min="10536" max="10565" width="0" style="281" hidden="1" customWidth="1"/>
    <col min="10566" max="10566" width="12.7109375" style="281" customWidth="1"/>
    <col min="10567" max="10567" width="13.140625" style="281" customWidth="1"/>
    <col min="10568" max="10568" width="11.28515625" style="281" customWidth="1"/>
    <col min="10569" max="10569" width="12.7109375" style="281" customWidth="1"/>
    <col min="10570" max="10570" width="12.5703125" style="281" customWidth="1"/>
    <col min="10571" max="10571" width="3.28515625" style="281" customWidth="1"/>
    <col min="10572" max="10572" width="0" style="281" hidden="1" customWidth="1"/>
    <col min="10573" max="10573" width="3.28515625" style="281" customWidth="1"/>
    <col min="10574" max="10574" width="9.85546875" style="281" bestFit="1" customWidth="1"/>
    <col min="10575" max="10575" width="9.5703125" style="281" bestFit="1" customWidth="1"/>
    <col min="10576" max="10752" width="9.140625" style="281"/>
    <col min="10753" max="10753" width="2.85546875" style="281" customWidth="1"/>
    <col min="10754" max="10754" width="3.28515625" style="281" customWidth="1"/>
    <col min="10755" max="10755" width="69.28515625" style="281" customWidth="1"/>
    <col min="10756" max="10756" width="6" style="281" customWidth="1"/>
    <col min="10757" max="10761" width="13.5703125" style="281" customWidth="1"/>
    <col min="10762" max="10786" width="0" style="281" hidden="1" customWidth="1"/>
    <col min="10787" max="10787" width="11.28515625" style="281" customWidth="1"/>
    <col min="10788" max="10788" width="13.5703125" style="281" customWidth="1"/>
    <col min="10789" max="10789" width="11.28515625" style="281" customWidth="1"/>
    <col min="10790" max="10790" width="13.28515625" style="281" customWidth="1"/>
    <col min="10791" max="10791" width="11.28515625" style="281" customWidth="1"/>
    <col min="10792" max="10821" width="0" style="281" hidden="1" customWidth="1"/>
    <col min="10822" max="10822" width="12.7109375" style="281" customWidth="1"/>
    <col min="10823" max="10823" width="13.140625" style="281" customWidth="1"/>
    <col min="10824" max="10824" width="11.28515625" style="281" customWidth="1"/>
    <col min="10825" max="10825" width="12.7109375" style="281" customWidth="1"/>
    <col min="10826" max="10826" width="12.5703125" style="281" customWidth="1"/>
    <col min="10827" max="10827" width="3.28515625" style="281" customWidth="1"/>
    <col min="10828" max="10828" width="0" style="281" hidden="1" customWidth="1"/>
    <col min="10829" max="10829" width="3.28515625" style="281" customWidth="1"/>
    <col min="10830" max="10830" width="9.85546875" style="281" bestFit="1" customWidth="1"/>
    <col min="10831" max="10831" width="9.5703125" style="281" bestFit="1" customWidth="1"/>
    <col min="10832" max="11008" width="9.140625" style="281"/>
    <col min="11009" max="11009" width="2.85546875" style="281" customWidth="1"/>
    <col min="11010" max="11010" width="3.28515625" style="281" customWidth="1"/>
    <col min="11011" max="11011" width="69.28515625" style="281" customWidth="1"/>
    <col min="11012" max="11012" width="6" style="281" customWidth="1"/>
    <col min="11013" max="11017" width="13.5703125" style="281" customWidth="1"/>
    <col min="11018" max="11042" width="0" style="281" hidden="1" customWidth="1"/>
    <col min="11043" max="11043" width="11.28515625" style="281" customWidth="1"/>
    <col min="11044" max="11044" width="13.5703125" style="281" customWidth="1"/>
    <col min="11045" max="11045" width="11.28515625" style="281" customWidth="1"/>
    <col min="11046" max="11046" width="13.28515625" style="281" customWidth="1"/>
    <col min="11047" max="11047" width="11.28515625" style="281" customWidth="1"/>
    <col min="11048" max="11077" width="0" style="281" hidden="1" customWidth="1"/>
    <col min="11078" max="11078" width="12.7109375" style="281" customWidth="1"/>
    <col min="11079" max="11079" width="13.140625" style="281" customWidth="1"/>
    <col min="11080" max="11080" width="11.28515625" style="281" customWidth="1"/>
    <col min="11081" max="11081" width="12.7109375" style="281" customWidth="1"/>
    <col min="11082" max="11082" width="12.5703125" style="281" customWidth="1"/>
    <col min="11083" max="11083" width="3.28515625" style="281" customWidth="1"/>
    <col min="11084" max="11084" width="0" style="281" hidden="1" customWidth="1"/>
    <col min="11085" max="11085" width="3.28515625" style="281" customWidth="1"/>
    <col min="11086" max="11086" width="9.85546875" style="281" bestFit="1" customWidth="1"/>
    <col min="11087" max="11087" width="9.5703125" style="281" bestFit="1" customWidth="1"/>
    <col min="11088" max="11264" width="9.140625" style="281"/>
    <col min="11265" max="11265" width="2.85546875" style="281" customWidth="1"/>
    <col min="11266" max="11266" width="3.28515625" style="281" customWidth="1"/>
    <col min="11267" max="11267" width="69.28515625" style="281" customWidth="1"/>
    <col min="11268" max="11268" width="6" style="281" customWidth="1"/>
    <col min="11269" max="11273" width="13.5703125" style="281" customWidth="1"/>
    <col min="11274" max="11298" width="0" style="281" hidden="1" customWidth="1"/>
    <col min="11299" max="11299" width="11.28515625" style="281" customWidth="1"/>
    <col min="11300" max="11300" width="13.5703125" style="281" customWidth="1"/>
    <col min="11301" max="11301" width="11.28515625" style="281" customWidth="1"/>
    <col min="11302" max="11302" width="13.28515625" style="281" customWidth="1"/>
    <col min="11303" max="11303" width="11.28515625" style="281" customWidth="1"/>
    <col min="11304" max="11333" width="0" style="281" hidden="1" customWidth="1"/>
    <col min="11334" max="11334" width="12.7109375" style="281" customWidth="1"/>
    <col min="11335" max="11335" width="13.140625" style="281" customWidth="1"/>
    <col min="11336" max="11336" width="11.28515625" style="281" customWidth="1"/>
    <col min="11337" max="11337" width="12.7109375" style="281" customWidth="1"/>
    <col min="11338" max="11338" width="12.5703125" style="281" customWidth="1"/>
    <col min="11339" max="11339" width="3.28515625" style="281" customWidth="1"/>
    <col min="11340" max="11340" width="0" style="281" hidden="1" customWidth="1"/>
    <col min="11341" max="11341" width="3.28515625" style="281" customWidth="1"/>
    <col min="11342" max="11342" width="9.85546875" style="281" bestFit="1" customWidth="1"/>
    <col min="11343" max="11343" width="9.5703125" style="281" bestFit="1" customWidth="1"/>
    <col min="11344" max="11520" width="9.140625" style="281"/>
    <col min="11521" max="11521" width="2.85546875" style="281" customWidth="1"/>
    <col min="11522" max="11522" width="3.28515625" style="281" customWidth="1"/>
    <col min="11523" max="11523" width="69.28515625" style="281" customWidth="1"/>
    <col min="11524" max="11524" width="6" style="281" customWidth="1"/>
    <col min="11525" max="11529" width="13.5703125" style="281" customWidth="1"/>
    <col min="11530" max="11554" width="0" style="281" hidden="1" customWidth="1"/>
    <col min="11555" max="11555" width="11.28515625" style="281" customWidth="1"/>
    <col min="11556" max="11556" width="13.5703125" style="281" customWidth="1"/>
    <col min="11557" max="11557" width="11.28515625" style="281" customWidth="1"/>
    <col min="11558" max="11558" width="13.28515625" style="281" customWidth="1"/>
    <col min="11559" max="11559" width="11.28515625" style="281" customWidth="1"/>
    <col min="11560" max="11589" width="0" style="281" hidden="1" customWidth="1"/>
    <col min="11590" max="11590" width="12.7109375" style="281" customWidth="1"/>
    <col min="11591" max="11591" width="13.140625" style="281" customWidth="1"/>
    <col min="11592" max="11592" width="11.28515625" style="281" customWidth="1"/>
    <col min="11593" max="11593" width="12.7109375" style="281" customWidth="1"/>
    <col min="11594" max="11594" width="12.5703125" style="281" customWidth="1"/>
    <col min="11595" max="11595" width="3.28515625" style="281" customWidth="1"/>
    <col min="11596" max="11596" width="0" style="281" hidden="1" customWidth="1"/>
    <col min="11597" max="11597" width="3.28515625" style="281" customWidth="1"/>
    <col min="11598" max="11598" width="9.85546875" style="281" bestFit="1" customWidth="1"/>
    <col min="11599" max="11599" width="9.5703125" style="281" bestFit="1" customWidth="1"/>
    <col min="11600" max="11776" width="9.140625" style="281"/>
    <col min="11777" max="11777" width="2.85546875" style="281" customWidth="1"/>
    <col min="11778" max="11778" width="3.28515625" style="281" customWidth="1"/>
    <col min="11779" max="11779" width="69.28515625" style="281" customWidth="1"/>
    <col min="11780" max="11780" width="6" style="281" customWidth="1"/>
    <col min="11781" max="11785" width="13.5703125" style="281" customWidth="1"/>
    <col min="11786" max="11810" width="0" style="281" hidden="1" customWidth="1"/>
    <col min="11811" max="11811" width="11.28515625" style="281" customWidth="1"/>
    <col min="11812" max="11812" width="13.5703125" style="281" customWidth="1"/>
    <col min="11813" max="11813" width="11.28515625" style="281" customWidth="1"/>
    <col min="11814" max="11814" width="13.28515625" style="281" customWidth="1"/>
    <col min="11815" max="11815" width="11.28515625" style="281" customWidth="1"/>
    <col min="11816" max="11845" width="0" style="281" hidden="1" customWidth="1"/>
    <col min="11846" max="11846" width="12.7109375" style="281" customWidth="1"/>
    <col min="11847" max="11847" width="13.140625" style="281" customWidth="1"/>
    <col min="11848" max="11848" width="11.28515625" style="281" customWidth="1"/>
    <col min="11849" max="11849" width="12.7109375" style="281" customWidth="1"/>
    <col min="11850" max="11850" width="12.5703125" style="281" customWidth="1"/>
    <col min="11851" max="11851" width="3.28515625" style="281" customWidth="1"/>
    <col min="11852" max="11852" width="0" style="281" hidden="1" customWidth="1"/>
    <col min="11853" max="11853" width="3.28515625" style="281" customWidth="1"/>
    <col min="11854" max="11854" width="9.85546875" style="281" bestFit="1" customWidth="1"/>
    <col min="11855" max="11855" width="9.5703125" style="281" bestFit="1" customWidth="1"/>
    <col min="11856" max="12032" width="9.140625" style="281"/>
    <col min="12033" max="12033" width="2.85546875" style="281" customWidth="1"/>
    <col min="12034" max="12034" width="3.28515625" style="281" customWidth="1"/>
    <col min="12035" max="12035" width="69.28515625" style="281" customWidth="1"/>
    <col min="12036" max="12036" width="6" style="281" customWidth="1"/>
    <col min="12037" max="12041" width="13.5703125" style="281" customWidth="1"/>
    <col min="12042" max="12066" width="0" style="281" hidden="1" customWidth="1"/>
    <col min="12067" max="12067" width="11.28515625" style="281" customWidth="1"/>
    <col min="12068" max="12068" width="13.5703125" style="281" customWidth="1"/>
    <col min="12069" max="12069" width="11.28515625" style="281" customWidth="1"/>
    <col min="12070" max="12070" width="13.28515625" style="281" customWidth="1"/>
    <col min="12071" max="12071" width="11.28515625" style="281" customWidth="1"/>
    <col min="12072" max="12101" width="0" style="281" hidden="1" customWidth="1"/>
    <col min="12102" max="12102" width="12.7109375" style="281" customWidth="1"/>
    <col min="12103" max="12103" width="13.140625" style="281" customWidth="1"/>
    <col min="12104" max="12104" width="11.28515625" style="281" customWidth="1"/>
    <col min="12105" max="12105" width="12.7109375" style="281" customWidth="1"/>
    <col min="12106" max="12106" width="12.5703125" style="281" customWidth="1"/>
    <col min="12107" max="12107" width="3.28515625" style="281" customWidth="1"/>
    <col min="12108" max="12108" width="0" style="281" hidden="1" customWidth="1"/>
    <col min="12109" max="12109" width="3.28515625" style="281" customWidth="1"/>
    <col min="12110" max="12110" width="9.85546875" style="281" bestFit="1" customWidth="1"/>
    <col min="12111" max="12111" width="9.5703125" style="281" bestFit="1" customWidth="1"/>
    <col min="12112" max="12288" width="9.140625" style="281"/>
    <col min="12289" max="12289" width="2.85546875" style="281" customWidth="1"/>
    <col min="12290" max="12290" width="3.28515625" style="281" customWidth="1"/>
    <col min="12291" max="12291" width="69.28515625" style="281" customWidth="1"/>
    <col min="12292" max="12292" width="6" style="281" customWidth="1"/>
    <col min="12293" max="12297" width="13.5703125" style="281" customWidth="1"/>
    <col min="12298" max="12322" width="0" style="281" hidden="1" customWidth="1"/>
    <col min="12323" max="12323" width="11.28515625" style="281" customWidth="1"/>
    <col min="12324" max="12324" width="13.5703125" style="281" customWidth="1"/>
    <col min="12325" max="12325" width="11.28515625" style="281" customWidth="1"/>
    <col min="12326" max="12326" width="13.28515625" style="281" customWidth="1"/>
    <col min="12327" max="12327" width="11.28515625" style="281" customWidth="1"/>
    <col min="12328" max="12357" width="0" style="281" hidden="1" customWidth="1"/>
    <col min="12358" max="12358" width="12.7109375" style="281" customWidth="1"/>
    <col min="12359" max="12359" width="13.140625" style="281" customWidth="1"/>
    <col min="12360" max="12360" width="11.28515625" style="281" customWidth="1"/>
    <col min="12361" max="12361" width="12.7109375" style="281" customWidth="1"/>
    <col min="12362" max="12362" width="12.5703125" style="281" customWidth="1"/>
    <col min="12363" max="12363" width="3.28515625" style="281" customWidth="1"/>
    <col min="12364" max="12364" width="0" style="281" hidden="1" customWidth="1"/>
    <col min="12365" max="12365" width="3.28515625" style="281" customWidth="1"/>
    <col min="12366" max="12366" width="9.85546875" style="281" bestFit="1" customWidth="1"/>
    <col min="12367" max="12367" width="9.5703125" style="281" bestFit="1" customWidth="1"/>
    <col min="12368" max="12544" width="9.140625" style="281"/>
    <col min="12545" max="12545" width="2.85546875" style="281" customWidth="1"/>
    <col min="12546" max="12546" width="3.28515625" style="281" customWidth="1"/>
    <col min="12547" max="12547" width="69.28515625" style="281" customWidth="1"/>
    <col min="12548" max="12548" width="6" style="281" customWidth="1"/>
    <col min="12549" max="12553" width="13.5703125" style="281" customWidth="1"/>
    <col min="12554" max="12578" width="0" style="281" hidden="1" customWidth="1"/>
    <col min="12579" max="12579" width="11.28515625" style="281" customWidth="1"/>
    <col min="12580" max="12580" width="13.5703125" style="281" customWidth="1"/>
    <col min="12581" max="12581" width="11.28515625" style="281" customWidth="1"/>
    <col min="12582" max="12582" width="13.28515625" style="281" customWidth="1"/>
    <col min="12583" max="12583" width="11.28515625" style="281" customWidth="1"/>
    <col min="12584" max="12613" width="0" style="281" hidden="1" customWidth="1"/>
    <col min="12614" max="12614" width="12.7109375" style="281" customWidth="1"/>
    <col min="12615" max="12615" width="13.140625" style="281" customWidth="1"/>
    <col min="12616" max="12616" width="11.28515625" style="281" customWidth="1"/>
    <col min="12617" max="12617" width="12.7109375" style="281" customWidth="1"/>
    <col min="12618" max="12618" width="12.5703125" style="281" customWidth="1"/>
    <col min="12619" max="12619" width="3.28515625" style="281" customWidth="1"/>
    <col min="12620" max="12620" width="0" style="281" hidden="1" customWidth="1"/>
    <col min="12621" max="12621" width="3.28515625" style="281" customWidth="1"/>
    <col min="12622" max="12622" width="9.85546875" style="281" bestFit="1" customWidth="1"/>
    <col min="12623" max="12623" width="9.5703125" style="281" bestFit="1" customWidth="1"/>
    <col min="12624" max="12800" width="9.140625" style="281"/>
    <col min="12801" max="12801" width="2.85546875" style="281" customWidth="1"/>
    <col min="12802" max="12802" width="3.28515625" style="281" customWidth="1"/>
    <col min="12803" max="12803" width="69.28515625" style="281" customWidth="1"/>
    <col min="12804" max="12804" width="6" style="281" customWidth="1"/>
    <col min="12805" max="12809" width="13.5703125" style="281" customWidth="1"/>
    <col min="12810" max="12834" width="0" style="281" hidden="1" customWidth="1"/>
    <col min="12835" max="12835" width="11.28515625" style="281" customWidth="1"/>
    <col min="12836" max="12836" width="13.5703125" style="281" customWidth="1"/>
    <col min="12837" max="12837" width="11.28515625" style="281" customWidth="1"/>
    <col min="12838" max="12838" width="13.28515625" style="281" customWidth="1"/>
    <col min="12839" max="12839" width="11.28515625" style="281" customWidth="1"/>
    <col min="12840" max="12869" width="0" style="281" hidden="1" customWidth="1"/>
    <col min="12870" max="12870" width="12.7109375" style="281" customWidth="1"/>
    <col min="12871" max="12871" width="13.140625" style="281" customWidth="1"/>
    <col min="12872" max="12872" width="11.28515625" style="281" customWidth="1"/>
    <col min="12873" max="12873" width="12.7109375" style="281" customWidth="1"/>
    <col min="12874" max="12874" width="12.5703125" style="281" customWidth="1"/>
    <col min="12875" max="12875" width="3.28515625" style="281" customWidth="1"/>
    <col min="12876" max="12876" width="0" style="281" hidden="1" customWidth="1"/>
    <col min="12877" max="12877" width="3.28515625" style="281" customWidth="1"/>
    <col min="12878" max="12878" width="9.85546875" style="281" bestFit="1" customWidth="1"/>
    <col min="12879" max="12879" width="9.5703125" style="281" bestFit="1" customWidth="1"/>
    <col min="12880" max="13056" width="9.140625" style="281"/>
    <col min="13057" max="13057" width="2.85546875" style="281" customWidth="1"/>
    <col min="13058" max="13058" width="3.28515625" style="281" customWidth="1"/>
    <col min="13059" max="13059" width="69.28515625" style="281" customWidth="1"/>
    <col min="13060" max="13060" width="6" style="281" customWidth="1"/>
    <col min="13061" max="13065" width="13.5703125" style="281" customWidth="1"/>
    <col min="13066" max="13090" width="0" style="281" hidden="1" customWidth="1"/>
    <col min="13091" max="13091" width="11.28515625" style="281" customWidth="1"/>
    <col min="13092" max="13092" width="13.5703125" style="281" customWidth="1"/>
    <col min="13093" max="13093" width="11.28515625" style="281" customWidth="1"/>
    <col min="13094" max="13094" width="13.28515625" style="281" customWidth="1"/>
    <col min="13095" max="13095" width="11.28515625" style="281" customWidth="1"/>
    <col min="13096" max="13125" width="0" style="281" hidden="1" customWidth="1"/>
    <col min="13126" max="13126" width="12.7109375" style="281" customWidth="1"/>
    <col min="13127" max="13127" width="13.140625" style="281" customWidth="1"/>
    <col min="13128" max="13128" width="11.28515625" style="281" customWidth="1"/>
    <col min="13129" max="13129" width="12.7109375" style="281" customWidth="1"/>
    <col min="13130" max="13130" width="12.5703125" style="281" customWidth="1"/>
    <col min="13131" max="13131" width="3.28515625" style="281" customWidth="1"/>
    <col min="13132" max="13132" width="0" style="281" hidden="1" customWidth="1"/>
    <col min="13133" max="13133" width="3.28515625" style="281" customWidth="1"/>
    <col min="13134" max="13134" width="9.85546875" style="281" bestFit="1" customWidth="1"/>
    <col min="13135" max="13135" width="9.5703125" style="281" bestFit="1" customWidth="1"/>
    <col min="13136" max="13312" width="9.140625" style="281"/>
    <col min="13313" max="13313" width="2.85546875" style="281" customWidth="1"/>
    <col min="13314" max="13314" width="3.28515625" style="281" customWidth="1"/>
    <col min="13315" max="13315" width="69.28515625" style="281" customWidth="1"/>
    <col min="13316" max="13316" width="6" style="281" customWidth="1"/>
    <col min="13317" max="13321" width="13.5703125" style="281" customWidth="1"/>
    <col min="13322" max="13346" width="0" style="281" hidden="1" customWidth="1"/>
    <col min="13347" max="13347" width="11.28515625" style="281" customWidth="1"/>
    <col min="13348" max="13348" width="13.5703125" style="281" customWidth="1"/>
    <col min="13349" max="13349" width="11.28515625" style="281" customWidth="1"/>
    <col min="13350" max="13350" width="13.28515625" style="281" customWidth="1"/>
    <col min="13351" max="13351" width="11.28515625" style="281" customWidth="1"/>
    <col min="13352" max="13381" width="0" style="281" hidden="1" customWidth="1"/>
    <col min="13382" max="13382" width="12.7109375" style="281" customWidth="1"/>
    <col min="13383" max="13383" width="13.140625" style="281" customWidth="1"/>
    <col min="13384" max="13384" width="11.28515625" style="281" customWidth="1"/>
    <col min="13385" max="13385" width="12.7109375" style="281" customWidth="1"/>
    <col min="13386" max="13386" width="12.5703125" style="281" customWidth="1"/>
    <col min="13387" max="13387" width="3.28515625" style="281" customWidth="1"/>
    <col min="13388" max="13388" width="0" style="281" hidden="1" customWidth="1"/>
    <col min="13389" max="13389" width="3.28515625" style="281" customWidth="1"/>
    <col min="13390" max="13390" width="9.85546875" style="281" bestFit="1" customWidth="1"/>
    <col min="13391" max="13391" width="9.5703125" style="281" bestFit="1" customWidth="1"/>
    <col min="13392" max="13568" width="9.140625" style="281"/>
    <col min="13569" max="13569" width="2.85546875" style="281" customWidth="1"/>
    <col min="13570" max="13570" width="3.28515625" style="281" customWidth="1"/>
    <col min="13571" max="13571" width="69.28515625" style="281" customWidth="1"/>
    <col min="13572" max="13572" width="6" style="281" customWidth="1"/>
    <col min="13573" max="13577" width="13.5703125" style="281" customWidth="1"/>
    <col min="13578" max="13602" width="0" style="281" hidden="1" customWidth="1"/>
    <col min="13603" max="13603" width="11.28515625" style="281" customWidth="1"/>
    <col min="13604" max="13604" width="13.5703125" style="281" customWidth="1"/>
    <col min="13605" max="13605" width="11.28515625" style="281" customWidth="1"/>
    <col min="13606" max="13606" width="13.28515625" style="281" customWidth="1"/>
    <col min="13607" max="13607" width="11.28515625" style="281" customWidth="1"/>
    <col min="13608" max="13637" width="0" style="281" hidden="1" customWidth="1"/>
    <col min="13638" max="13638" width="12.7109375" style="281" customWidth="1"/>
    <col min="13639" max="13639" width="13.140625" style="281" customWidth="1"/>
    <col min="13640" max="13640" width="11.28515625" style="281" customWidth="1"/>
    <col min="13641" max="13641" width="12.7109375" style="281" customWidth="1"/>
    <col min="13642" max="13642" width="12.5703125" style="281" customWidth="1"/>
    <col min="13643" max="13643" width="3.28515625" style="281" customWidth="1"/>
    <col min="13644" max="13644" width="0" style="281" hidden="1" customWidth="1"/>
    <col min="13645" max="13645" width="3.28515625" style="281" customWidth="1"/>
    <col min="13646" max="13646" width="9.85546875" style="281" bestFit="1" customWidth="1"/>
    <col min="13647" max="13647" width="9.5703125" style="281" bestFit="1" customWidth="1"/>
    <col min="13648" max="13824" width="9.140625" style="281"/>
    <col min="13825" max="13825" width="2.85546875" style="281" customWidth="1"/>
    <col min="13826" max="13826" width="3.28515625" style="281" customWidth="1"/>
    <col min="13827" max="13827" width="69.28515625" style="281" customWidth="1"/>
    <col min="13828" max="13828" width="6" style="281" customWidth="1"/>
    <col min="13829" max="13833" width="13.5703125" style="281" customWidth="1"/>
    <col min="13834" max="13858" width="0" style="281" hidden="1" customWidth="1"/>
    <col min="13859" max="13859" width="11.28515625" style="281" customWidth="1"/>
    <col min="13860" max="13860" width="13.5703125" style="281" customWidth="1"/>
    <col min="13861" max="13861" width="11.28515625" style="281" customWidth="1"/>
    <col min="13862" max="13862" width="13.28515625" style="281" customWidth="1"/>
    <col min="13863" max="13863" width="11.28515625" style="281" customWidth="1"/>
    <col min="13864" max="13893" width="0" style="281" hidden="1" customWidth="1"/>
    <col min="13894" max="13894" width="12.7109375" style="281" customWidth="1"/>
    <col min="13895" max="13895" width="13.140625" style="281" customWidth="1"/>
    <col min="13896" max="13896" width="11.28515625" style="281" customWidth="1"/>
    <col min="13897" max="13897" width="12.7109375" style="281" customWidth="1"/>
    <col min="13898" max="13898" width="12.5703125" style="281" customWidth="1"/>
    <col min="13899" max="13899" width="3.28515625" style="281" customWidth="1"/>
    <col min="13900" max="13900" width="0" style="281" hidden="1" customWidth="1"/>
    <col min="13901" max="13901" width="3.28515625" style="281" customWidth="1"/>
    <col min="13902" max="13902" width="9.85546875" style="281" bestFit="1" customWidth="1"/>
    <col min="13903" max="13903" width="9.5703125" style="281" bestFit="1" customWidth="1"/>
    <col min="13904" max="14080" width="9.140625" style="281"/>
    <col min="14081" max="14081" width="2.85546875" style="281" customWidth="1"/>
    <col min="14082" max="14082" width="3.28515625" style="281" customWidth="1"/>
    <col min="14083" max="14083" width="69.28515625" style="281" customWidth="1"/>
    <col min="14084" max="14084" width="6" style="281" customWidth="1"/>
    <col min="14085" max="14089" width="13.5703125" style="281" customWidth="1"/>
    <col min="14090" max="14114" width="0" style="281" hidden="1" customWidth="1"/>
    <col min="14115" max="14115" width="11.28515625" style="281" customWidth="1"/>
    <col min="14116" max="14116" width="13.5703125" style="281" customWidth="1"/>
    <col min="14117" max="14117" width="11.28515625" style="281" customWidth="1"/>
    <col min="14118" max="14118" width="13.28515625" style="281" customWidth="1"/>
    <col min="14119" max="14119" width="11.28515625" style="281" customWidth="1"/>
    <col min="14120" max="14149" width="0" style="281" hidden="1" customWidth="1"/>
    <col min="14150" max="14150" width="12.7109375" style="281" customWidth="1"/>
    <col min="14151" max="14151" width="13.140625" style="281" customWidth="1"/>
    <col min="14152" max="14152" width="11.28515625" style="281" customWidth="1"/>
    <col min="14153" max="14153" width="12.7109375" style="281" customWidth="1"/>
    <col min="14154" max="14154" width="12.5703125" style="281" customWidth="1"/>
    <col min="14155" max="14155" width="3.28515625" style="281" customWidth="1"/>
    <col min="14156" max="14156" width="0" style="281" hidden="1" customWidth="1"/>
    <col min="14157" max="14157" width="3.28515625" style="281" customWidth="1"/>
    <col min="14158" max="14158" width="9.85546875" style="281" bestFit="1" customWidth="1"/>
    <col min="14159" max="14159" width="9.5703125" style="281" bestFit="1" customWidth="1"/>
    <col min="14160" max="14336" width="9.140625" style="281"/>
    <col min="14337" max="14337" width="2.85546875" style="281" customWidth="1"/>
    <col min="14338" max="14338" width="3.28515625" style="281" customWidth="1"/>
    <col min="14339" max="14339" width="69.28515625" style="281" customWidth="1"/>
    <col min="14340" max="14340" width="6" style="281" customWidth="1"/>
    <col min="14341" max="14345" width="13.5703125" style="281" customWidth="1"/>
    <col min="14346" max="14370" width="0" style="281" hidden="1" customWidth="1"/>
    <col min="14371" max="14371" width="11.28515625" style="281" customWidth="1"/>
    <col min="14372" max="14372" width="13.5703125" style="281" customWidth="1"/>
    <col min="14373" max="14373" width="11.28515625" style="281" customWidth="1"/>
    <col min="14374" max="14374" width="13.28515625" style="281" customWidth="1"/>
    <col min="14375" max="14375" width="11.28515625" style="281" customWidth="1"/>
    <col min="14376" max="14405" width="0" style="281" hidden="1" customWidth="1"/>
    <col min="14406" max="14406" width="12.7109375" style="281" customWidth="1"/>
    <col min="14407" max="14407" width="13.140625" style="281" customWidth="1"/>
    <col min="14408" max="14408" width="11.28515625" style="281" customWidth="1"/>
    <col min="14409" max="14409" width="12.7109375" style="281" customWidth="1"/>
    <col min="14410" max="14410" width="12.5703125" style="281" customWidth="1"/>
    <col min="14411" max="14411" width="3.28515625" style="281" customWidth="1"/>
    <col min="14412" max="14412" width="0" style="281" hidden="1" customWidth="1"/>
    <col min="14413" max="14413" width="3.28515625" style="281" customWidth="1"/>
    <col min="14414" max="14414" width="9.85546875" style="281" bestFit="1" customWidth="1"/>
    <col min="14415" max="14415" width="9.5703125" style="281" bestFit="1" customWidth="1"/>
    <col min="14416" max="14592" width="9.140625" style="281"/>
    <col min="14593" max="14593" width="2.85546875" style="281" customWidth="1"/>
    <col min="14594" max="14594" width="3.28515625" style="281" customWidth="1"/>
    <col min="14595" max="14595" width="69.28515625" style="281" customWidth="1"/>
    <col min="14596" max="14596" width="6" style="281" customWidth="1"/>
    <col min="14597" max="14601" width="13.5703125" style="281" customWidth="1"/>
    <col min="14602" max="14626" width="0" style="281" hidden="1" customWidth="1"/>
    <col min="14627" max="14627" width="11.28515625" style="281" customWidth="1"/>
    <col min="14628" max="14628" width="13.5703125" style="281" customWidth="1"/>
    <col min="14629" max="14629" width="11.28515625" style="281" customWidth="1"/>
    <col min="14630" max="14630" width="13.28515625" style="281" customWidth="1"/>
    <col min="14631" max="14631" width="11.28515625" style="281" customWidth="1"/>
    <col min="14632" max="14661" width="0" style="281" hidden="1" customWidth="1"/>
    <col min="14662" max="14662" width="12.7109375" style="281" customWidth="1"/>
    <col min="14663" max="14663" width="13.140625" style="281" customWidth="1"/>
    <col min="14664" max="14664" width="11.28515625" style="281" customWidth="1"/>
    <col min="14665" max="14665" width="12.7109375" style="281" customWidth="1"/>
    <col min="14666" max="14666" width="12.5703125" style="281" customWidth="1"/>
    <col min="14667" max="14667" width="3.28515625" style="281" customWidth="1"/>
    <col min="14668" max="14668" width="0" style="281" hidden="1" customWidth="1"/>
    <col min="14669" max="14669" width="3.28515625" style="281" customWidth="1"/>
    <col min="14670" max="14670" width="9.85546875" style="281" bestFit="1" customWidth="1"/>
    <col min="14671" max="14671" width="9.5703125" style="281" bestFit="1" customWidth="1"/>
    <col min="14672" max="14848" width="9.140625" style="281"/>
    <col min="14849" max="14849" width="2.85546875" style="281" customWidth="1"/>
    <col min="14850" max="14850" width="3.28515625" style="281" customWidth="1"/>
    <col min="14851" max="14851" width="69.28515625" style="281" customWidth="1"/>
    <col min="14852" max="14852" width="6" style="281" customWidth="1"/>
    <col min="14853" max="14857" width="13.5703125" style="281" customWidth="1"/>
    <col min="14858" max="14882" width="0" style="281" hidden="1" customWidth="1"/>
    <col min="14883" max="14883" width="11.28515625" style="281" customWidth="1"/>
    <col min="14884" max="14884" width="13.5703125" style="281" customWidth="1"/>
    <col min="14885" max="14885" width="11.28515625" style="281" customWidth="1"/>
    <col min="14886" max="14886" width="13.28515625" style="281" customWidth="1"/>
    <col min="14887" max="14887" width="11.28515625" style="281" customWidth="1"/>
    <col min="14888" max="14917" width="0" style="281" hidden="1" customWidth="1"/>
    <col min="14918" max="14918" width="12.7109375" style="281" customWidth="1"/>
    <col min="14919" max="14919" width="13.140625" style="281" customWidth="1"/>
    <col min="14920" max="14920" width="11.28515625" style="281" customWidth="1"/>
    <col min="14921" max="14921" width="12.7109375" style="281" customWidth="1"/>
    <col min="14922" max="14922" width="12.5703125" style="281" customWidth="1"/>
    <col min="14923" max="14923" width="3.28515625" style="281" customWidth="1"/>
    <col min="14924" max="14924" width="0" style="281" hidden="1" customWidth="1"/>
    <col min="14925" max="14925" width="3.28515625" style="281" customWidth="1"/>
    <col min="14926" max="14926" width="9.85546875" style="281" bestFit="1" customWidth="1"/>
    <col min="14927" max="14927" width="9.5703125" style="281" bestFit="1" customWidth="1"/>
    <col min="14928" max="15104" width="9.140625" style="281"/>
    <col min="15105" max="15105" width="2.85546875" style="281" customWidth="1"/>
    <col min="15106" max="15106" width="3.28515625" style="281" customWidth="1"/>
    <col min="15107" max="15107" width="69.28515625" style="281" customWidth="1"/>
    <col min="15108" max="15108" width="6" style="281" customWidth="1"/>
    <col min="15109" max="15113" width="13.5703125" style="281" customWidth="1"/>
    <col min="15114" max="15138" width="0" style="281" hidden="1" customWidth="1"/>
    <col min="15139" max="15139" width="11.28515625" style="281" customWidth="1"/>
    <col min="15140" max="15140" width="13.5703125" style="281" customWidth="1"/>
    <col min="15141" max="15141" width="11.28515625" style="281" customWidth="1"/>
    <col min="15142" max="15142" width="13.28515625" style="281" customWidth="1"/>
    <col min="15143" max="15143" width="11.28515625" style="281" customWidth="1"/>
    <col min="15144" max="15173" width="0" style="281" hidden="1" customWidth="1"/>
    <col min="15174" max="15174" width="12.7109375" style="281" customWidth="1"/>
    <col min="15175" max="15175" width="13.140625" style="281" customWidth="1"/>
    <col min="15176" max="15176" width="11.28515625" style="281" customWidth="1"/>
    <col min="15177" max="15177" width="12.7109375" style="281" customWidth="1"/>
    <col min="15178" max="15178" width="12.5703125" style="281" customWidth="1"/>
    <col min="15179" max="15179" width="3.28515625" style="281" customWidth="1"/>
    <col min="15180" max="15180" width="0" style="281" hidden="1" customWidth="1"/>
    <col min="15181" max="15181" width="3.28515625" style="281" customWidth="1"/>
    <col min="15182" max="15182" width="9.85546875" style="281" bestFit="1" customWidth="1"/>
    <col min="15183" max="15183" width="9.5703125" style="281" bestFit="1" customWidth="1"/>
    <col min="15184" max="15360" width="9.140625" style="281"/>
    <col min="15361" max="15361" width="2.85546875" style="281" customWidth="1"/>
    <col min="15362" max="15362" width="3.28515625" style="281" customWidth="1"/>
    <col min="15363" max="15363" width="69.28515625" style="281" customWidth="1"/>
    <col min="15364" max="15364" width="6" style="281" customWidth="1"/>
    <col min="15365" max="15369" width="13.5703125" style="281" customWidth="1"/>
    <col min="15370" max="15394" width="0" style="281" hidden="1" customWidth="1"/>
    <col min="15395" max="15395" width="11.28515625" style="281" customWidth="1"/>
    <col min="15396" max="15396" width="13.5703125" style="281" customWidth="1"/>
    <col min="15397" max="15397" width="11.28515625" style="281" customWidth="1"/>
    <col min="15398" max="15398" width="13.28515625" style="281" customWidth="1"/>
    <col min="15399" max="15399" width="11.28515625" style="281" customWidth="1"/>
    <col min="15400" max="15429" width="0" style="281" hidden="1" customWidth="1"/>
    <col min="15430" max="15430" width="12.7109375" style="281" customWidth="1"/>
    <col min="15431" max="15431" width="13.140625" style="281" customWidth="1"/>
    <col min="15432" max="15432" width="11.28515625" style="281" customWidth="1"/>
    <col min="15433" max="15433" width="12.7109375" style="281" customWidth="1"/>
    <col min="15434" max="15434" width="12.5703125" style="281" customWidth="1"/>
    <col min="15435" max="15435" width="3.28515625" style="281" customWidth="1"/>
    <col min="15436" max="15436" width="0" style="281" hidden="1" customWidth="1"/>
    <col min="15437" max="15437" width="3.28515625" style="281" customWidth="1"/>
    <col min="15438" max="15438" width="9.85546875" style="281" bestFit="1" customWidth="1"/>
    <col min="15439" max="15439" width="9.5703125" style="281" bestFit="1" customWidth="1"/>
    <col min="15440" max="15616" width="9.140625" style="281"/>
    <col min="15617" max="15617" width="2.85546875" style="281" customWidth="1"/>
    <col min="15618" max="15618" width="3.28515625" style="281" customWidth="1"/>
    <col min="15619" max="15619" width="69.28515625" style="281" customWidth="1"/>
    <col min="15620" max="15620" width="6" style="281" customWidth="1"/>
    <col min="15621" max="15625" width="13.5703125" style="281" customWidth="1"/>
    <col min="15626" max="15650" width="0" style="281" hidden="1" customWidth="1"/>
    <col min="15651" max="15651" width="11.28515625" style="281" customWidth="1"/>
    <col min="15652" max="15652" width="13.5703125" style="281" customWidth="1"/>
    <col min="15653" max="15653" width="11.28515625" style="281" customWidth="1"/>
    <col min="15654" max="15654" width="13.28515625" style="281" customWidth="1"/>
    <col min="15655" max="15655" width="11.28515625" style="281" customWidth="1"/>
    <col min="15656" max="15685" width="0" style="281" hidden="1" customWidth="1"/>
    <col min="15686" max="15686" width="12.7109375" style="281" customWidth="1"/>
    <col min="15687" max="15687" width="13.140625" style="281" customWidth="1"/>
    <col min="15688" max="15688" width="11.28515625" style="281" customWidth="1"/>
    <col min="15689" max="15689" width="12.7109375" style="281" customWidth="1"/>
    <col min="15690" max="15690" width="12.5703125" style="281" customWidth="1"/>
    <col min="15691" max="15691" width="3.28515625" style="281" customWidth="1"/>
    <col min="15692" max="15692" width="0" style="281" hidden="1" customWidth="1"/>
    <col min="15693" max="15693" width="3.28515625" style="281" customWidth="1"/>
    <col min="15694" max="15694" width="9.85546875" style="281" bestFit="1" customWidth="1"/>
    <col min="15695" max="15695" width="9.5703125" style="281" bestFit="1" customWidth="1"/>
    <col min="15696" max="15872" width="9.140625" style="281"/>
    <col min="15873" max="15873" width="2.85546875" style="281" customWidth="1"/>
    <col min="15874" max="15874" width="3.28515625" style="281" customWidth="1"/>
    <col min="15875" max="15875" width="69.28515625" style="281" customWidth="1"/>
    <col min="15876" max="15876" width="6" style="281" customWidth="1"/>
    <col min="15877" max="15881" width="13.5703125" style="281" customWidth="1"/>
    <col min="15882" max="15906" width="0" style="281" hidden="1" customWidth="1"/>
    <col min="15907" max="15907" width="11.28515625" style="281" customWidth="1"/>
    <col min="15908" max="15908" width="13.5703125" style="281" customWidth="1"/>
    <col min="15909" max="15909" width="11.28515625" style="281" customWidth="1"/>
    <col min="15910" max="15910" width="13.28515625" style="281" customWidth="1"/>
    <col min="15911" max="15911" width="11.28515625" style="281" customWidth="1"/>
    <col min="15912" max="15941" width="0" style="281" hidden="1" customWidth="1"/>
    <col min="15942" max="15942" width="12.7109375" style="281" customWidth="1"/>
    <col min="15943" max="15943" width="13.140625" style="281" customWidth="1"/>
    <col min="15944" max="15944" width="11.28515625" style="281" customWidth="1"/>
    <col min="15945" max="15945" width="12.7109375" style="281" customWidth="1"/>
    <col min="15946" max="15946" width="12.5703125" style="281" customWidth="1"/>
    <col min="15947" max="15947" width="3.28515625" style="281" customWidth="1"/>
    <col min="15948" max="15948" width="0" style="281" hidden="1" customWidth="1"/>
    <col min="15949" max="15949" width="3.28515625" style="281" customWidth="1"/>
    <col min="15950" max="15950" width="9.85546875" style="281" bestFit="1" customWidth="1"/>
    <col min="15951" max="15951" width="9.5703125" style="281" bestFit="1" customWidth="1"/>
    <col min="15952" max="16128" width="9.140625" style="281"/>
    <col min="16129" max="16129" width="2.85546875" style="281" customWidth="1"/>
    <col min="16130" max="16130" width="3.28515625" style="281" customWidth="1"/>
    <col min="16131" max="16131" width="69.28515625" style="281" customWidth="1"/>
    <col min="16132" max="16132" width="6" style="281" customWidth="1"/>
    <col min="16133" max="16137" width="13.5703125" style="281" customWidth="1"/>
    <col min="16138" max="16162" width="0" style="281" hidden="1" customWidth="1"/>
    <col min="16163" max="16163" width="11.28515625" style="281" customWidth="1"/>
    <col min="16164" max="16164" width="13.5703125" style="281" customWidth="1"/>
    <col min="16165" max="16165" width="11.28515625" style="281" customWidth="1"/>
    <col min="16166" max="16166" width="13.28515625" style="281" customWidth="1"/>
    <col min="16167" max="16167" width="11.28515625" style="281" customWidth="1"/>
    <col min="16168" max="16197" width="0" style="281" hidden="1" customWidth="1"/>
    <col min="16198" max="16198" width="12.7109375" style="281" customWidth="1"/>
    <col min="16199" max="16199" width="13.140625" style="281" customWidth="1"/>
    <col min="16200" max="16200" width="11.28515625" style="281" customWidth="1"/>
    <col min="16201" max="16201" width="12.7109375" style="281" customWidth="1"/>
    <col min="16202" max="16202" width="12.5703125" style="281" customWidth="1"/>
    <col min="16203" max="16203" width="3.28515625" style="281" customWidth="1"/>
    <col min="16204" max="16204" width="0" style="281" hidden="1" customWidth="1"/>
    <col min="16205" max="16205" width="3.28515625" style="281" customWidth="1"/>
    <col min="16206" max="16206" width="9.85546875" style="281" bestFit="1" customWidth="1"/>
    <col min="16207" max="16207" width="9.5703125" style="281" bestFit="1" customWidth="1"/>
    <col min="16208" max="16384" width="9.140625" style="281"/>
  </cols>
  <sheetData>
    <row r="1" spans="1:78" ht="15.75" x14ac:dyDescent="0.25">
      <c r="A1" s="275" t="s">
        <v>209</v>
      </c>
      <c r="B1" s="276"/>
      <c r="C1" s="277"/>
      <c r="D1" s="278"/>
      <c r="E1" s="279"/>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80"/>
      <c r="BX1" s="280"/>
    </row>
    <row r="2" spans="1:78" ht="15" x14ac:dyDescent="0.25">
      <c r="A2" s="282"/>
      <c r="B2" s="278"/>
      <c r="D2" s="283"/>
      <c r="E2" s="721" t="s">
        <v>4</v>
      </c>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3"/>
      <c r="BW2" s="284"/>
      <c r="BX2" s="280"/>
      <c r="BZ2" s="280"/>
    </row>
    <row r="3" spans="1:78" ht="15" x14ac:dyDescent="0.25">
      <c r="A3" s="286"/>
      <c r="B3" s="278"/>
      <c r="C3" s="280" t="s">
        <v>210</v>
      </c>
      <c r="D3" s="287"/>
      <c r="E3" s="716" t="s">
        <v>297</v>
      </c>
      <c r="F3" s="717"/>
      <c r="G3" s="717"/>
      <c r="H3" s="717"/>
      <c r="I3" s="718"/>
      <c r="J3" s="716" t="s">
        <v>6</v>
      </c>
      <c r="K3" s="717"/>
      <c r="L3" s="717"/>
      <c r="M3" s="717"/>
      <c r="N3" s="718"/>
      <c r="O3" s="724" t="s">
        <v>7</v>
      </c>
      <c r="P3" s="717"/>
      <c r="Q3" s="717"/>
      <c r="R3" s="717"/>
      <c r="S3" s="718"/>
      <c r="T3" s="716" t="s">
        <v>8</v>
      </c>
      <c r="U3" s="717"/>
      <c r="V3" s="717"/>
      <c r="W3" s="717"/>
      <c r="X3" s="718"/>
      <c r="Y3" s="716" t="s">
        <v>9</v>
      </c>
      <c r="Z3" s="717"/>
      <c r="AA3" s="717"/>
      <c r="AB3" s="717"/>
      <c r="AC3" s="718"/>
      <c r="AD3" s="716" t="s">
        <v>10</v>
      </c>
      <c r="AE3" s="717"/>
      <c r="AF3" s="717"/>
      <c r="AG3" s="717"/>
      <c r="AH3" s="718"/>
      <c r="AI3" s="716" t="s">
        <v>11</v>
      </c>
      <c r="AJ3" s="717"/>
      <c r="AK3" s="717"/>
      <c r="AL3" s="717"/>
      <c r="AM3" s="718"/>
      <c r="AN3" s="716" t="s">
        <v>12</v>
      </c>
      <c r="AO3" s="717"/>
      <c r="AP3" s="717"/>
      <c r="AQ3" s="717"/>
      <c r="AR3" s="718"/>
      <c r="AS3" s="716" t="s">
        <v>13</v>
      </c>
      <c r="AT3" s="717"/>
      <c r="AU3" s="717"/>
      <c r="AV3" s="717"/>
      <c r="AW3" s="718"/>
      <c r="AX3" s="716" t="s">
        <v>14</v>
      </c>
      <c r="AY3" s="717"/>
      <c r="AZ3" s="717"/>
      <c r="BA3" s="717"/>
      <c r="BB3" s="718"/>
      <c r="BC3" s="716" t="s">
        <v>15</v>
      </c>
      <c r="BD3" s="717"/>
      <c r="BE3" s="717"/>
      <c r="BF3" s="717"/>
      <c r="BG3" s="718"/>
      <c r="BH3" s="716" t="s">
        <v>16</v>
      </c>
      <c r="BI3" s="717"/>
      <c r="BJ3" s="717"/>
      <c r="BK3" s="717"/>
      <c r="BL3" s="718"/>
      <c r="BM3" s="716" t="s">
        <v>17</v>
      </c>
      <c r="BN3" s="717"/>
      <c r="BO3" s="717"/>
      <c r="BP3" s="717"/>
      <c r="BQ3" s="718"/>
      <c r="BR3" s="716" t="s">
        <v>18</v>
      </c>
      <c r="BS3" s="717"/>
      <c r="BT3" s="717"/>
      <c r="BU3" s="717"/>
      <c r="BV3" s="719"/>
      <c r="BW3" s="288"/>
      <c r="BX3" s="288"/>
    </row>
    <row r="4" spans="1:78" x14ac:dyDescent="0.2">
      <c r="A4" s="286"/>
      <c r="B4" s="278"/>
      <c r="D4" s="287"/>
      <c r="E4" s="289" t="s">
        <v>212</v>
      </c>
      <c r="F4" s="290" t="s">
        <v>213</v>
      </c>
      <c r="G4" s="290" t="s">
        <v>214</v>
      </c>
      <c r="H4" s="290" t="s">
        <v>215</v>
      </c>
      <c r="I4" s="291" t="s">
        <v>216</v>
      </c>
      <c r="J4" s="289" t="s">
        <v>212</v>
      </c>
      <c r="K4" s="290" t="s">
        <v>213</v>
      </c>
      <c r="L4" s="290" t="s">
        <v>214</v>
      </c>
      <c r="M4" s="290" t="s">
        <v>215</v>
      </c>
      <c r="N4" s="292" t="s">
        <v>216</v>
      </c>
      <c r="O4" s="290" t="s">
        <v>212</v>
      </c>
      <c r="P4" s="290" t="s">
        <v>213</v>
      </c>
      <c r="Q4" s="290" t="s">
        <v>214</v>
      </c>
      <c r="R4" s="290" t="s">
        <v>215</v>
      </c>
      <c r="S4" s="292" t="s">
        <v>216</v>
      </c>
      <c r="T4" s="289" t="s">
        <v>212</v>
      </c>
      <c r="U4" s="290" t="s">
        <v>213</v>
      </c>
      <c r="V4" s="290" t="s">
        <v>214</v>
      </c>
      <c r="W4" s="290" t="s">
        <v>215</v>
      </c>
      <c r="X4" s="292" t="s">
        <v>216</v>
      </c>
      <c r="Y4" s="289" t="s">
        <v>212</v>
      </c>
      <c r="Z4" s="290" t="s">
        <v>213</v>
      </c>
      <c r="AA4" s="290" t="s">
        <v>214</v>
      </c>
      <c r="AB4" s="290" t="s">
        <v>215</v>
      </c>
      <c r="AC4" s="292" t="s">
        <v>216</v>
      </c>
      <c r="AD4" s="289" t="s">
        <v>212</v>
      </c>
      <c r="AE4" s="290" t="s">
        <v>213</v>
      </c>
      <c r="AF4" s="290" t="s">
        <v>214</v>
      </c>
      <c r="AG4" s="290" t="s">
        <v>215</v>
      </c>
      <c r="AH4" s="292" t="s">
        <v>216</v>
      </c>
      <c r="AI4" s="289" t="s">
        <v>212</v>
      </c>
      <c r="AJ4" s="290" t="s">
        <v>213</v>
      </c>
      <c r="AK4" s="290" t="s">
        <v>214</v>
      </c>
      <c r="AL4" s="290" t="s">
        <v>215</v>
      </c>
      <c r="AM4" s="292" t="s">
        <v>216</v>
      </c>
      <c r="AN4" s="289" t="s">
        <v>212</v>
      </c>
      <c r="AO4" s="290" t="s">
        <v>213</v>
      </c>
      <c r="AP4" s="290" t="s">
        <v>214</v>
      </c>
      <c r="AQ4" s="290" t="s">
        <v>215</v>
      </c>
      <c r="AR4" s="292" t="s">
        <v>216</v>
      </c>
      <c r="AS4" s="289" t="s">
        <v>212</v>
      </c>
      <c r="AT4" s="290" t="s">
        <v>213</v>
      </c>
      <c r="AU4" s="290" t="s">
        <v>214</v>
      </c>
      <c r="AV4" s="290" t="s">
        <v>215</v>
      </c>
      <c r="AW4" s="292" t="s">
        <v>216</v>
      </c>
      <c r="AX4" s="289" t="s">
        <v>212</v>
      </c>
      <c r="AY4" s="290" t="s">
        <v>213</v>
      </c>
      <c r="AZ4" s="290" t="s">
        <v>214</v>
      </c>
      <c r="BA4" s="290" t="s">
        <v>215</v>
      </c>
      <c r="BB4" s="292" t="s">
        <v>216</v>
      </c>
      <c r="BC4" s="289" t="s">
        <v>212</v>
      </c>
      <c r="BD4" s="290" t="s">
        <v>213</v>
      </c>
      <c r="BE4" s="290" t="s">
        <v>214</v>
      </c>
      <c r="BF4" s="290" t="s">
        <v>215</v>
      </c>
      <c r="BG4" s="292" t="s">
        <v>216</v>
      </c>
      <c r="BH4" s="289" t="s">
        <v>212</v>
      </c>
      <c r="BI4" s="290" t="s">
        <v>213</v>
      </c>
      <c r="BJ4" s="290" t="s">
        <v>214</v>
      </c>
      <c r="BK4" s="290" t="s">
        <v>217</v>
      </c>
      <c r="BL4" s="292" t="s">
        <v>216</v>
      </c>
      <c r="BM4" s="289" t="s">
        <v>212</v>
      </c>
      <c r="BN4" s="290" t="s">
        <v>213</v>
      </c>
      <c r="BO4" s="290" t="s">
        <v>214</v>
      </c>
      <c r="BP4" s="290" t="s">
        <v>215</v>
      </c>
      <c r="BQ4" s="292" t="s">
        <v>216</v>
      </c>
      <c r="BR4" s="289" t="s">
        <v>212</v>
      </c>
      <c r="BS4" s="290" t="s">
        <v>213</v>
      </c>
      <c r="BT4" s="290" t="s">
        <v>214</v>
      </c>
      <c r="BU4" s="290" t="s">
        <v>215</v>
      </c>
      <c r="BV4" s="293" t="s">
        <v>216</v>
      </c>
      <c r="BW4" s="284"/>
      <c r="BX4" s="288"/>
    </row>
    <row r="5" spans="1:78" x14ac:dyDescent="0.2">
      <c r="A5" s="294" t="s">
        <v>20</v>
      </c>
      <c r="B5" s="295"/>
      <c r="C5" s="295"/>
      <c r="D5" s="296"/>
      <c r="E5" s="297" t="s">
        <v>218</v>
      </c>
      <c r="F5" s="30" t="s">
        <v>219</v>
      </c>
      <c r="G5" s="30" t="s">
        <v>220</v>
      </c>
      <c r="H5" s="30" t="s">
        <v>221</v>
      </c>
      <c r="I5" s="298"/>
      <c r="J5" s="297" t="s">
        <v>218</v>
      </c>
      <c r="K5" s="30" t="s">
        <v>219</v>
      </c>
      <c r="L5" s="30" t="s">
        <v>220</v>
      </c>
      <c r="M5" s="30" t="s">
        <v>221</v>
      </c>
      <c r="N5" s="298"/>
      <c r="O5" s="30" t="s">
        <v>218</v>
      </c>
      <c r="P5" s="30" t="s">
        <v>219</v>
      </c>
      <c r="Q5" s="30" t="s">
        <v>220</v>
      </c>
      <c r="R5" s="30" t="s">
        <v>221</v>
      </c>
      <c r="S5" s="298"/>
      <c r="T5" s="297" t="s">
        <v>218</v>
      </c>
      <c r="U5" s="30" t="s">
        <v>219</v>
      </c>
      <c r="V5" s="30" t="s">
        <v>220</v>
      </c>
      <c r="W5" s="30" t="s">
        <v>221</v>
      </c>
      <c r="X5" s="298"/>
      <c r="Y5" s="297" t="s">
        <v>218</v>
      </c>
      <c r="Z5" s="30" t="s">
        <v>219</v>
      </c>
      <c r="AA5" s="30" t="s">
        <v>220</v>
      </c>
      <c r="AB5" s="30" t="s">
        <v>221</v>
      </c>
      <c r="AC5" s="298"/>
      <c r="AD5" s="297" t="s">
        <v>218</v>
      </c>
      <c r="AE5" s="30" t="s">
        <v>219</v>
      </c>
      <c r="AF5" s="30" t="s">
        <v>220</v>
      </c>
      <c r="AG5" s="30" t="s">
        <v>221</v>
      </c>
      <c r="AH5" s="298"/>
      <c r="AI5" s="297" t="s">
        <v>218</v>
      </c>
      <c r="AJ5" s="30" t="s">
        <v>219</v>
      </c>
      <c r="AK5" s="30" t="s">
        <v>220</v>
      </c>
      <c r="AL5" s="30" t="s">
        <v>221</v>
      </c>
      <c r="AM5" s="298"/>
      <c r="AN5" s="297" t="s">
        <v>218</v>
      </c>
      <c r="AO5" s="30" t="s">
        <v>219</v>
      </c>
      <c r="AP5" s="30" t="s">
        <v>220</v>
      </c>
      <c r="AQ5" s="30" t="s">
        <v>221</v>
      </c>
      <c r="AR5" s="298"/>
      <c r="AS5" s="297" t="s">
        <v>218</v>
      </c>
      <c r="AT5" s="30" t="s">
        <v>219</v>
      </c>
      <c r="AU5" s="30" t="s">
        <v>220</v>
      </c>
      <c r="AV5" s="30" t="s">
        <v>221</v>
      </c>
      <c r="AW5" s="298"/>
      <c r="AX5" s="297" t="s">
        <v>218</v>
      </c>
      <c r="AY5" s="30" t="s">
        <v>219</v>
      </c>
      <c r="AZ5" s="30" t="s">
        <v>220</v>
      </c>
      <c r="BA5" s="30" t="s">
        <v>221</v>
      </c>
      <c r="BB5" s="298"/>
      <c r="BC5" s="297" t="s">
        <v>218</v>
      </c>
      <c r="BD5" s="30" t="s">
        <v>219</v>
      </c>
      <c r="BE5" s="30" t="s">
        <v>220</v>
      </c>
      <c r="BF5" s="30" t="s">
        <v>221</v>
      </c>
      <c r="BG5" s="298"/>
      <c r="BH5" s="297" t="s">
        <v>218</v>
      </c>
      <c r="BI5" s="30" t="s">
        <v>219</v>
      </c>
      <c r="BJ5" s="30" t="s">
        <v>220</v>
      </c>
      <c r="BK5" s="30" t="s">
        <v>221</v>
      </c>
      <c r="BL5" s="298"/>
      <c r="BM5" s="297" t="s">
        <v>218</v>
      </c>
      <c r="BN5" s="30" t="s">
        <v>219</v>
      </c>
      <c r="BO5" s="30" t="s">
        <v>220</v>
      </c>
      <c r="BP5" s="30" t="s">
        <v>221</v>
      </c>
      <c r="BQ5" s="298"/>
      <c r="BR5" s="297" t="s">
        <v>218</v>
      </c>
      <c r="BS5" s="30" t="s">
        <v>219</v>
      </c>
      <c r="BT5" s="30" t="s">
        <v>220</v>
      </c>
      <c r="BU5" s="30" t="s">
        <v>221</v>
      </c>
      <c r="BV5" s="297"/>
      <c r="BW5" s="284"/>
      <c r="BX5" s="299">
        <f>(100/12)*4</f>
        <v>33.333333333333336</v>
      </c>
    </row>
    <row r="6" spans="1:78" x14ac:dyDescent="0.2">
      <c r="A6" s="300"/>
      <c r="B6" s="278"/>
      <c r="D6" s="290"/>
      <c r="E6" s="301"/>
      <c r="F6" s="290"/>
      <c r="G6" s="290"/>
      <c r="H6" s="290"/>
      <c r="I6" s="302"/>
      <c r="J6" s="289"/>
      <c r="K6" s="290"/>
      <c r="L6" s="290"/>
      <c r="M6" s="290"/>
      <c r="N6" s="302"/>
      <c r="O6" s="290"/>
      <c r="P6" s="290"/>
      <c r="Q6" s="290"/>
      <c r="R6" s="290"/>
      <c r="S6" s="302"/>
      <c r="T6" s="289"/>
      <c r="U6" s="290"/>
      <c r="V6" s="290"/>
      <c r="W6" s="290"/>
      <c r="X6" s="302"/>
      <c r="Y6" s="289"/>
      <c r="Z6" s="290"/>
      <c r="AA6" s="290"/>
      <c r="AB6" s="290"/>
      <c r="AC6" s="302"/>
      <c r="AD6" s="289"/>
      <c r="AE6" s="290"/>
      <c r="AF6" s="290"/>
      <c r="AG6" s="290"/>
      <c r="AH6" s="302"/>
      <c r="AI6" s="289"/>
      <c r="AJ6" s="290"/>
      <c r="AK6" s="290"/>
      <c r="AL6" s="290"/>
      <c r="AM6" s="302"/>
      <c r="AN6" s="289"/>
      <c r="AO6" s="290"/>
      <c r="AP6" s="290"/>
      <c r="AQ6" s="290"/>
      <c r="AR6" s="302"/>
      <c r="AS6" s="289"/>
      <c r="AT6" s="290"/>
      <c r="AU6" s="290"/>
      <c r="AV6" s="290"/>
      <c r="AW6" s="302"/>
      <c r="AX6" s="289"/>
      <c r="AY6" s="290"/>
      <c r="AZ6" s="290"/>
      <c r="BA6" s="290"/>
      <c r="BB6" s="302"/>
      <c r="BC6" s="289"/>
      <c r="BD6" s="290"/>
      <c r="BE6" s="290"/>
      <c r="BF6" s="290"/>
      <c r="BG6" s="302"/>
      <c r="BH6" s="289"/>
      <c r="BI6" s="290"/>
      <c r="BJ6" s="290"/>
      <c r="BK6" s="290"/>
      <c r="BL6" s="302"/>
      <c r="BM6" s="289"/>
      <c r="BN6" s="290"/>
      <c r="BO6" s="290"/>
      <c r="BP6" s="290"/>
      <c r="BQ6" s="302"/>
      <c r="BR6" s="289"/>
      <c r="BS6" s="290"/>
      <c r="BT6" s="290"/>
      <c r="BU6" s="290"/>
      <c r="BV6" s="289"/>
      <c r="BW6" s="284"/>
      <c r="BX6" s="288"/>
    </row>
    <row r="7" spans="1:78" ht="13.5" customHeight="1" x14ac:dyDescent="0.2">
      <c r="A7" s="303">
        <v>1</v>
      </c>
      <c r="B7" s="304" t="s">
        <v>222</v>
      </c>
      <c r="D7" s="305"/>
      <c r="E7" s="338">
        <v>612745</v>
      </c>
      <c r="F7" s="337">
        <v>1543</v>
      </c>
      <c r="G7" s="337">
        <v>16344</v>
      </c>
      <c r="H7" s="337">
        <v>949</v>
      </c>
      <c r="I7" s="157">
        <f t="shared" ref="I7:I46" si="0">SUM(E7:H7)</f>
        <v>631581</v>
      </c>
      <c r="J7" s="159">
        <v>39235</v>
      </c>
      <c r="K7" s="161">
        <v>51</v>
      </c>
      <c r="L7" s="161">
        <v>135</v>
      </c>
      <c r="M7" s="161">
        <v>0</v>
      </c>
      <c r="N7" s="157">
        <f>SUM(J7:M7)</f>
        <v>39421</v>
      </c>
      <c r="O7" s="161">
        <v>37059</v>
      </c>
      <c r="P7" s="161">
        <v>148</v>
      </c>
      <c r="Q7" s="161">
        <v>133</v>
      </c>
      <c r="R7" s="161">
        <v>0</v>
      </c>
      <c r="S7" s="157">
        <f>SUM(O7:R7)</f>
        <v>37340</v>
      </c>
      <c r="T7" s="159">
        <v>38132</v>
      </c>
      <c r="U7" s="161">
        <v>318</v>
      </c>
      <c r="V7" s="161">
        <v>690</v>
      </c>
      <c r="W7" s="161">
        <v>0</v>
      </c>
      <c r="X7" s="157">
        <f>SUM(T7:W7)</f>
        <v>39140</v>
      </c>
      <c r="Y7" s="159">
        <v>35672</v>
      </c>
      <c r="Z7" s="161">
        <v>341</v>
      </c>
      <c r="AA7" s="161">
        <v>1924</v>
      </c>
      <c r="AB7" s="161">
        <v>0</v>
      </c>
      <c r="AC7" s="157">
        <f>SUM(Y7:AB7)</f>
        <v>37937</v>
      </c>
      <c r="AD7" s="159">
        <v>44418</v>
      </c>
      <c r="AE7" s="161">
        <v>126</v>
      </c>
      <c r="AF7" s="161">
        <v>1489</v>
      </c>
      <c r="AG7" s="161">
        <v>0</v>
      </c>
      <c r="AH7" s="157">
        <f>SUM(AD7:AG7)</f>
        <v>46033</v>
      </c>
      <c r="AI7" s="159">
        <v>60287</v>
      </c>
      <c r="AJ7" s="161">
        <v>107</v>
      </c>
      <c r="AK7" s="161">
        <v>3971</v>
      </c>
      <c r="AL7" s="161">
        <v>0</v>
      </c>
      <c r="AM7" s="157">
        <f>SUM(AI7:AL7)</f>
        <v>64365</v>
      </c>
      <c r="AN7" s="159">
        <v>0</v>
      </c>
      <c r="AO7" s="161">
        <v>0</v>
      </c>
      <c r="AP7" s="161">
        <v>0</v>
      </c>
      <c r="AQ7" s="161">
        <v>0</v>
      </c>
      <c r="AR7" s="157">
        <f t="shared" ref="AR7:AR45" si="1">SUM(AN7:AQ7)</f>
        <v>0</v>
      </c>
      <c r="AS7" s="159">
        <v>0</v>
      </c>
      <c r="AT7" s="161">
        <v>0</v>
      </c>
      <c r="AU7" s="161">
        <v>0</v>
      </c>
      <c r="AV7" s="161">
        <v>0</v>
      </c>
      <c r="AW7" s="157">
        <f>SUM(AS7:AV7)</f>
        <v>0</v>
      </c>
      <c r="AX7" s="159">
        <v>0</v>
      </c>
      <c r="AY7" s="161">
        <v>0</v>
      </c>
      <c r="AZ7" s="161">
        <v>0</v>
      </c>
      <c r="BA7" s="161">
        <v>0</v>
      </c>
      <c r="BB7" s="157">
        <f>SUM(AX7:BA7)</f>
        <v>0</v>
      </c>
      <c r="BC7" s="159">
        <v>0</v>
      </c>
      <c r="BD7" s="161">
        <v>0</v>
      </c>
      <c r="BE7" s="161">
        <v>0</v>
      </c>
      <c r="BF7" s="161">
        <v>0</v>
      </c>
      <c r="BG7" s="157">
        <f>SUM(BC7:BF7)</f>
        <v>0</v>
      </c>
      <c r="BH7" s="159">
        <v>0</v>
      </c>
      <c r="BI7" s="161">
        <v>0</v>
      </c>
      <c r="BJ7" s="161">
        <v>0</v>
      </c>
      <c r="BK7" s="161">
        <v>0</v>
      </c>
      <c r="BL7" s="157">
        <f>SUM(BH7:BK7)</f>
        <v>0</v>
      </c>
      <c r="BM7" s="159">
        <v>0</v>
      </c>
      <c r="BN7" s="161">
        <v>0</v>
      </c>
      <c r="BO7" s="161">
        <v>0</v>
      </c>
      <c r="BP7" s="161">
        <v>0</v>
      </c>
      <c r="BQ7" s="157">
        <f>SUM(BM7:BP7)</f>
        <v>0</v>
      </c>
      <c r="BR7" s="159">
        <f>+J7+O7+T7+Y7+AD7+AI7+AN7+AS7+AX7+BC7+BH7+BM7</f>
        <v>254803</v>
      </c>
      <c r="BS7" s="337">
        <f>+K7+P7+U7+Z7+AE7+AJ7+AO7+AT7+AY7+BD7+BI7+BN7</f>
        <v>1091</v>
      </c>
      <c r="BT7" s="161">
        <f>+L7+Q7+V7+AA7+AF7+AK7+AP7+AU7+AZ7+BE7+BJ7+BO7</f>
        <v>8342</v>
      </c>
      <c r="BU7" s="161">
        <f>+M7+R7+W7+AB7+AG7+AL7+AQ7+AV7+BA7+BF7+BK7+BP7</f>
        <v>0</v>
      </c>
      <c r="BV7" s="159">
        <f t="shared" ref="BV7:BV46" si="2">SUM(BR7:BU7)</f>
        <v>264236</v>
      </c>
      <c r="BW7" s="367"/>
      <c r="BX7" s="368">
        <f>(BV7/I7)*100</f>
        <v>41.837230695666904</v>
      </c>
    </row>
    <row r="8" spans="1:78" x14ac:dyDescent="0.2">
      <c r="A8" s="303">
        <v>2</v>
      </c>
      <c r="B8" s="304" t="s">
        <v>223</v>
      </c>
      <c r="D8" s="307" t="s">
        <v>86</v>
      </c>
      <c r="E8" s="338">
        <v>1518513</v>
      </c>
      <c r="F8" s="337">
        <v>464247</v>
      </c>
      <c r="G8" s="337">
        <v>10700</v>
      </c>
      <c r="H8" s="337">
        <v>0</v>
      </c>
      <c r="I8" s="157">
        <f t="shared" si="0"/>
        <v>1993460</v>
      </c>
      <c r="J8" s="159">
        <v>127270</v>
      </c>
      <c r="K8" s="161">
        <v>115828</v>
      </c>
      <c r="L8" s="161">
        <v>0</v>
      </c>
      <c r="M8" s="161">
        <v>0</v>
      </c>
      <c r="N8" s="157">
        <f>SUM(J8:M8)</f>
        <v>243098</v>
      </c>
      <c r="O8" s="161">
        <v>121796</v>
      </c>
      <c r="P8" s="161">
        <v>0</v>
      </c>
      <c r="Q8" s="161">
        <v>935</v>
      </c>
      <c r="R8" s="161">
        <v>0</v>
      </c>
      <c r="S8" s="157">
        <f t="shared" ref="S8:S15" si="3">SUM(O8:R8)</f>
        <v>122731</v>
      </c>
      <c r="T8" s="159">
        <v>126124</v>
      </c>
      <c r="U8" s="161">
        <v>0</v>
      </c>
      <c r="V8" s="161">
        <v>935</v>
      </c>
      <c r="W8" s="161">
        <v>0</v>
      </c>
      <c r="X8" s="157">
        <f t="shared" ref="X8:X46" si="4">SUM(T8:W8)</f>
        <v>127059</v>
      </c>
      <c r="Y8" s="159">
        <v>129617</v>
      </c>
      <c r="Z8" s="161">
        <v>115828</v>
      </c>
      <c r="AA8" s="161">
        <v>935</v>
      </c>
      <c r="AB8" s="161">
        <v>0</v>
      </c>
      <c r="AC8" s="157">
        <f t="shared" ref="AC8:AC46" si="5">SUM(Y8:AB8)</f>
        <v>246380</v>
      </c>
      <c r="AD8" s="159">
        <v>128066</v>
      </c>
      <c r="AE8" s="161">
        <v>0</v>
      </c>
      <c r="AF8" s="161">
        <v>935</v>
      </c>
      <c r="AG8" s="161">
        <v>0</v>
      </c>
      <c r="AH8" s="157">
        <f t="shared" ref="AH8:AH46" si="6">SUM(AD8:AG8)</f>
        <v>129001</v>
      </c>
      <c r="AI8" s="159">
        <v>124983</v>
      </c>
      <c r="AJ8" s="161">
        <v>935</v>
      </c>
      <c r="AK8" s="161">
        <v>0</v>
      </c>
      <c r="AL8" s="161">
        <v>0</v>
      </c>
      <c r="AM8" s="157">
        <f t="shared" ref="AM8:AM46" si="7">SUM(AI8:AL8)</f>
        <v>125918</v>
      </c>
      <c r="AN8" s="159">
        <v>0</v>
      </c>
      <c r="AO8" s="161">
        <v>0</v>
      </c>
      <c r="AP8" s="161">
        <v>0</v>
      </c>
      <c r="AQ8" s="161">
        <v>0</v>
      </c>
      <c r="AR8" s="157">
        <f t="shared" si="1"/>
        <v>0</v>
      </c>
      <c r="AS8" s="159">
        <v>0</v>
      </c>
      <c r="AT8" s="161">
        <v>0</v>
      </c>
      <c r="AU8" s="161">
        <v>0</v>
      </c>
      <c r="AV8" s="161">
        <v>0</v>
      </c>
      <c r="AW8" s="157">
        <f t="shared" ref="AW8:AW46" si="8">SUM(AS8:AV8)</f>
        <v>0</v>
      </c>
      <c r="AX8" s="159">
        <v>0</v>
      </c>
      <c r="AY8" s="161">
        <v>0</v>
      </c>
      <c r="AZ8" s="161">
        <v>0</v>
      </c>
      <c r="BA8" s="161">
        <v>0</v>
      </c>
      <c r="BB8" s="157">
        <f t="shared" ref="BB8:BB46" si="9">SUM(AX8:BA8)</f>
        <v>0</v>
      </c>
      <c r="BC8" s="159">
        <v>0</v>
      </c>
      <c r="BD8" s="161">
        <v>0</v>
      </c>
      <c r="BE8" s="161">
        <v>0</v>
      </c>
      <c r="BF8" s="161">
        <v>0</v>
      </c>
      <c r="BG8" s="157">
        <f t="shared" ref="BG8:BG46" si="10">SUM(BC8:BF8)</f>
        <v>0</v>
      </c>
      <c r="BH8" s="159">
        <v>0</v>
      </c>
      <c r="BI8" s="161">
        <v>0</v>
      </c>
      <c r="BJ8" s="161">
        <v>0</v>
      </c>
      <c r="BK8" s="161">
        <v>0</v>
      </c>
      <c r="BL8" s="157">
        <f t="shared" ref="BL8:BL46" si="11">SUM(BH8:BK8)</f>
        <v>0</v>
      </c>
      <c r="BM8" s="159">
        <v>0</v>
      </c>
      <c r="BN8" s="161">
        <v>0</v>
      </c>
      <c r="BO8" s="161">
        <v>0</v>
      </c>
      <c r="BP8" s="161">
        <v>0</v>
      </c>
      <c r="BQ8" s="157">
        <f t="shared" ref="BQ8:BQ46" si="12">SUM(BM8:BP8)</f>
        <v>0</v>
      </c>
      <c r="BR8" s="159">
        <f>+J8+O8+T8+Y8+AD8+AI8+AN8+AS8+AX8+BC8+BH8+BM8</f>
        <v>757856</v>
      </c>
      <c r="BS8" s="337">
        <f t="shared" ref="BS8:BU23" si="13">+K8+P8+U8+Z8+AE8+AJ8+AO8+AT8+AY8+BD8+BI8+BN8</f>
        <v>232591</v>
      </c>
      <c r="BT8" s="161">
        <f t="shared" si="13"/>
        <v>3740</v>
      </c>
      <c r="BU8" s="161">
        <f>+M8+R8+W8+AB8+AG8+AL8+AQ8+AV8+BA8+BF8+BK8+BP8</f>
        <v>0</v>
      </c>
      <c r="BV8" s="159">
        <f t="shared" si="2"/>
        <v>994187</v>
      </c>
      <c r="BW8" s="129"/>
      <c r="BX8" s="368">
        <f>(BV8/I8)*100</f>
        <v>49.872432855437282</v>
      </c>
    </row>
    <row r="9" spans="1:78" x14ac:dyDescent="0.2">
      <c r="A9" s="303">
        <v>3</v>
      </c>
      <c r="B9" s="304" t="s">
        <v>298</v>
      </c>
      <c r="D9" s="307"/>
      <c r="E9" s="338">
        <v>95816</v>
      </c>
      <c r="F9" s="337">
        <v>1430239</v>
      </c>
      <c r="G9" s="337">
        <v>5510</v>
      </c>
      <c r="H9" s="337">
        <v>3200071</v>
      </c>
      <c r="I9" s="157">
        <f t="shared" si="0"/>
        <v>4731636</v>
      </c>
      <c r="J9" s="159">
        <v>5829</v>
      </c>
      <c r="K9" s="161">
        <v>32386</v>
      </c>
      <c r="L9" s="161">
        <v>0</v>
      </c>
      <c r="M9" s="161">
        <v>0</v>
      </c>
      <c r="N9" s="157">
        <f t="shared" ref="N9:N46" si="14">SUM(J9:M9)</f>
        <v>38215</v>
      </c>
      <c r="O9" s="161">
        <v>9685</v>
      </c>
      <c r="P9" s="161">
        <v>247376</v>
      </c>
      <c r="Q9" s="161">
        <v>44</v>
      </c>
      <c r="R9" s="161">
        <v>21</v>
      </c>
      <c r="S9" s="157">
        <f t="shared" si="3"/>
        <v>257126</v>
      </c>
      <c r="T9" s="159">
        <v>7317</v>
      </c>
      <c r="U9" s="161">
        <v>42383</v>
      </c>
      <c r="V9" s="161">
        <v>0</v>
      </c>
      <c r="W9" s="161">
        <v>1</v>
      </c>
      <c r="X9" s="157">
        <f t="shared" si="4"/>
        <v>49701</v>
      </c>
      <c r="Y9" s="159">
        <v>8157</v>
      </c>
      <c r="Z9" s="161">
        <v>201914</v>
      </c>
      <c r="AA9" s="161">
        <v>48</v>
      </c>
      <c r="AB9" s="161">
        <v>17</v>
      </c>
      <c r="AC9" s="157">
        <f t="shared" si="5"/>
        <v>210136</v>
      </c>
      <c r="AD9" s="159">
        <v>10956</v>
      </c>
      <c r="AE9" s="161">
        <v>85878</v>
      </c>
      <c r="AF9" s="161">
        <v>115</v>
      </c>
      <c r="AG9" s="161">
        <v>0</v>
      </c>
      <c r="AH9" s="157">
        <f t="shared" si="6"/>
        <v>96949</v>
      </c>
      <c r="AI9" s="159">
        <v>7220</v>
      </c>
      <c r="AJ9" s="161">
        <v>38078</v>
      </c>
      <c r="AK9" s="161">
        <v>196</v>
      </c>
      <c r="AL9" s="161">
        <v>0</v>
      </c>
      <c r="AM9" s="157">
        <f t="shared" si="7"/>
        <v>45494</v>
      </c>
      <c r="AN9" s="159">
        <v>0</v>
      </c>
      <c r="AO9" s="161">
        <v>0</v>
      </c>
      <c r="AP9" s="161">
        <v>0</v>
      </c>
      <c r="AQ9" s="161">
        <v>0</v>
      </c>
      <c r="AR9" s="157">
        <f t="shared" si="1"/>
        <v>0</v>
      </c>
      <c r="AS9" s="159">
        <v>0</v>
      </c>
      <c r="AT9" s="161">
        <v>0</v>
      </c>
      <c r="AU9" s="161">
        <v>0</v>
      </c>
      <c r="AV9" s="161">
        <v>0</v>
      </c>
      <c r="AW9" s="157">
        <f t="shared" si="8"/>
        <v>0</v>
      </c>
      <c r="AX9" s="159">
        <v>0</v>
      </c>
      <c r="AY9" s="161">
        <v>0</v>
      </c>
      <c r="AZ9" s="161">
        <v>0</v>
      </c>
      <c r="BA9" s="161">
        <v>0</v>
      </c>
      <c r="BB9" s="157">
        <f t="shared" si="9"/>
        <v>0</v>
      </c>
      <c r="BC9" s="159">
        <v>0</v>
      </c>
      <c r="BD9" s="161">
        <v>0</v>
      </c>
      <c r="BE9" s="161">
        <v>0</v>
      </c>
      <c r="BF9" s="161">
        <v>0</v>
      </c>
      <c r="BG9" s="157">
        <f t="shared" si="10"/>
        <v>0</v>
      </c>
      <c r="BH9" s="159">
        <v>0</v>
      </c>
      <c r="BI9" s="161">
        <v>0</v>
      </c>
      <c r="BJ9" s="161">
        <v>0</v>
      </c>
      <c r="BK9" s="161">
        <v>0</v>
      </c>
      <c r="BL9" s="157">
        <f t="shared" si="11"/>
        <v>0</v>
      </c>
      <c r="BM9" s="159">
        <v>0</v>
      </c>
      <c r="BN9" s="161">
        <v>0</v>
      </c>
      <c r="BO9" s="161">
        <v>0</v>
      </c>
      <c r="BP9" s="161">
        <v>0</v>
      </c>
      <c r="BQ9" s="157">
        <f t="shared" si="12"/>
        <v>0</v>
      </c>
      <c r="BR9" s="159">
        <f>+J9+O9+T9+Y9+AD9+AI9+AN9+AS9+AX9+BC9+BH9+BM9</f>
        <v>49164</v>
      </c>
      <c r="BS9" s="337">
        <f t="shared" si="13"/>
        <v>648015</v>
      </c>
      <c r="BT9" s="161">
        <f>+L9+Q9+V9+AA9+AF9+AK9+AP9+AU9+AZ9+BE9+BJ9+BO9</f>
        <v>403</v>
      </c>
      <c r="BU9" s="161">
        <f>+M9+R9+W9+AB9+AG9+AL9+AQ9+AV9+BA9+BF9+BK9+BP9</f>
        <v>39</v>
      </c>
      <c r="BV9" s="159">
        <f t="shared" si="2"/>
        <v>697621</v>
      </c>
      <c r="BW9" s="129"/>
      <c r="BX9" s="368">
        <f t="shared" ref="BX9:BX74" si="15">(BV9/I9)*100</f>
        <v>14.743758818303013</v>
      </c>
    </row>
    <row r="10" spans="1:78" x14ac:dyDescent="0.2">
      <c r="A10" s="303">
        <v>4</v>
      </c>
      <c r="B10" s="304" t="s">
        <v>299</v>
      </c>
      <c r="D10" s="307"/>
      <c r="E10" s="338">
        <v>4099334</v>
      </c>
      <c r="F10" s="337">
        <v>82539780</v>
      </c>
      <c r="G10" s="337">
        <v>38381</v>
      </c>
      <c r="H10" s="337">
        <v>40</v>
      </c>
      <c r="I10" s="157">
        <f t="shared" si="0"/>
        <v>86677535</v>
      </c>
      <c r="J10" s="159">
        <v>269058</v>
      </c>
      <c r="K10" s="161">
        <v>40647</v>
      </c>
      <c r="L10" s="161">
        <v>28</v>
      </c>
      <c r="M10" s="161">
        <v>0</v>
      </c>
      <c r="N10" s="157">
        <f t="shared" si="14"/>
        <v>309733</v>
      </c>
      <c r="O10" s="161">
        <v>269745</v>
      </c>
      <c r="P10" s="161">
        <v>85996</v>
      </c>
      <c r="Q10" s="161">
        <v>1365</v>
      </c>
      <c r="R10" s="161">
        <v>0</v>
      </c>
      <c r="S10" s="157">
        <f t="shared" si="3"/>
        <v>357106</v>
      </c>
      <c r="T10" s="159">
        <v>263603</v>
      </c>
      <c r="U10" s="161">
        <v>1</v>
      </c>
      <c r="V10" s="161">
        <v>55</v>
      </c>
      <c r="W10" s="161">
        <v>0</v>
      </c>
      <c r="X10" s="157">
        <f t="shared" si="4"/>
        <v>263659</v>
      </c>
      <c r="Y10" s="159">
        <v>281974</v>
      </c>
      <c r="Z10" s="161">
        <v>32341361</v>
      </c>
      <c r="AA10" s="161">
        <v>351</v>
      </c>
      <c r="AB10" s="161">
        <v>0</v>
      </c>
      <c r="AC10" s="157">
        <f t="shared" si="5"/>
        <v>32623686</v>
      </c>
      <c r="AD10" s="159">
        <v>305389</v>
      </c>
      <c r="AE10" s="161">
        <v>1169916</v>
      </c>
      <c r="AF10" s="161">
        <v>3431</v>
      </c>
      <c r="AG10" s="161">
        <v>0</v>
      </c>
      <c r="AH10" s="157">
        <f t="shared" si="6"/>
        <v>1478736</v>
      </c>
      <c r="AI10" s="159">
        <v>287627</v>
      </c>
      <c r="AJ10" s="161">
        <v>54809</v>
      </c>
      <c r="AK10" s="161">
        <v>8318</v>
      </c>
      <c r="AL10" s="161">
        <v>0</v>
      </c>
      <c r="AM10" s="157">
        <f t="shared" si="7"/>
        <v>350754</v>
      </c>
      <c r="AN10" s="159">
        <v>0</v>
      </c>
      <c r="AO10" s="161">
        <v>0</v>
      </c>
      <c r="AP10" s="161">
        <v>0</v>
      </c>
      <c r="AQ10" s="161">
        <v>0</v>
      </c>
      <c r="AR10" s="157">
        <f t="shared" si="1"/>
        <v>0</v>
      </c>
      <c r="AS10" s="159">
        <v>0</v>
      </c>
      <c r="AT10" s="161">
        <v>0</v>
      </c>
      <c r="AU10" s="161">
        <v>0</v>
      </c>
      <c r="AV10" s="161">
        <v>0</v>
      </c>
      <c r="AW10" s="157">
        <f t="shared" si="8"/>
        <v>0</v>
      </c>
      <c r="AX10" s="159">
        <v>0</v>
      </c>
      <c r="AY10" s="161">
        <v>0</v>
      </c>
      <c r="AZ10" s="161">
        <v>0</v>
      </c>
      <c r="BA10" s="161">
        <v>0</v>
      </c>
      <c r="BB10" s="157">
        <f t="shared" si="9"/>
        <v>0</v>
      </c>
      <c r="BC10" s="159">
        <v>0</v>
      </c>
      <c r="BD10" s="161">
        <v>0</v>
      </c>
      <c r="BE10" s="161">
        <v>0</v>
      </c>
      <c r="BF10" s="161">
        <v>0</v>
      </c>
      <c r="BG10" s="157">
        <f t="shared" si="10"/>
        <v>0</v>
      </c>
      <c r="BH10" s="159">
        <v>0</v>
      </c>
      <c r="BI10" s="161">
        <v>0</v>
      </c>
      <c r="BJ10" s="161">
        <v>0</v>
      </c>
      <c r="BK10" s="161">
        <v>0</v>
      </c>
      <c r="BL10" s="157">
        <f t="shared" si="11"/>
        <v>0</v>
      </c>
      <c r="BM10" s="159">
        <v>0</v>
      </c>
      <c r="BN10" s="161">
        <v>0</v>
      </c>
      <c r="BO10" s="161">
        <v>0</v>
      </c>
      <c r="BP10" s="161">
        <v>0</v>
      </c>
      <c r="BQ10" s="157">
        <f t="shared" si="12"/>
        <v>0</v>
      </c>
      <c r="BR10" s="159">
        <f>+J10+O10+T10+Y10+AD10+AI10+AN10+AS10+AX10+BC10+BH10+BM10</f>
        <v>1677396</v>
      </c>
      <c r="BS10" s="337">
        <f t="shared" si="13"/>
        <v>33692730</v>
      </c>
      <c r="BT10" s="161">
        <f>+L10+Q10+V10+AA10+AF10+AK10+AP10+AU10+AZ10+BE10+BJ10+BO10</f>
        <v>13548</v>
      </c>
      <c r="BU10" s="161">
        <f>+M10+R10+W10+AB10+AG10+AL10+AQ10+AV10+BA10+BF10+BK10+BP10</f>
        <v>0</v>
      </c>
      <c r="BV10" s="159">
        <f t="shared" si="2"/>
        <v>35383674</v>
      </c>
      <c r="BW10" s="129"/>
      <c r="BX10" s="368">
        <f>(BV10/I10)*100</f>
        <v>40.822196893347282</v>
      </c>
    </row>
    <row r="11" spans="1:78" x14ac:dyDescent="0.2">
      <c r="A11" s="303">
        <v>5</v>
      </c>
      <c r="B11" s="304" t="s">
        <v>226</v>
      </c>
      <c r="D11" s="305"/>
      <c r="E11" s="338">
        <v>6856513</v>
      </c>
      <c r="F11" s="337">
        <v>2196908</v>
      </c>
      <c r="G11" s="337">
        <v>468008</v>
      </c>
      <c r="H11" s="337">
        <v>5042</v>
      </c>
      <c r="I11" s="157">
        <f t="shared" si="0"/>
        <v>9526471</v>
      </c>
      <c r="J11" s="159">
        <v>454613</v>
      </c>
      <c r="K11" s="161">
        <v>294034</v>
      </c>
      <c r="L11" s="161">
        <v>3944</v>
      </c>
      <c r="M11" s="161">
        <v>0</v>
      </c>
      <c r="N11" s="157">
        <f t="shared" si="14"/>
        <v>752591</v>
      </c>
      <c r="O11" s="161">
        <v>522761</v>
      </c>
      <c r="P11" s="161">
        <v>642591</v>
      </c>
      <c r="Q11" s="161">
        <v>6800</v>
      </c>
      <c r="R11" s="161">
        <v>0</v>
      </c>
      <c r="S11" s="157">
        <f t="shared" si="3"/>
        <v>1172152</v>
      </c>
      <c r="T11" s="159">
        <v>480104</v>
      </c>
      <c r="U11" s="161">
        <v>162981</v>
      </c>
      <c r="V11" s="161">
        <v>16368</v>
      </c>
      <c r="W11" s="161">
        <v>0</v>
      </c>
      <c r="X11" s="157">
        <f t="shared" si="4"/>
        <v>659453</v>
      </c>
      <c r="Y11" s="159">
        <v>673647</v>
      </c>
      <c r="Z11" s="161">
        <v>145482</v>
      </c>
      <c r="AA11" s="161">
        <v>20965</v>
      </c>
      <c r="AB11" s="161">
        <v>0</v>
      </c>
      <c r="AC11" s="157">
        <f t="shared" si="5"/>
        <v>840094</v>
      </c>
      <c r="AD11" s="159">
        <v>481916</v>
      </c>
      <c r="AE11" s="161">
        <v>101861</v>
      </c>
      <c r="AF11" s="161">
        <v>42132</v>
      </c>
      <c r="AG11" s="161">
        <v>0</v>
      </c>
      <c r="AH11" s="157">
        <f t="shared" si="6"/>
        <v>625909</v>
      </c>
      <c r="AI11" s="159">
        <v>553031</v>
      </c>
      <c r="AJ11" s="161">
        <v>100654</v>
      </c>
      <c r="AK11" s="161">
        <v>23675</v>
      </c>
      <c r="AL11" s="161">
        <v>0</v>
      </c>
      <c r="AM11" s="157">
        <f t="shared" si="7"/>
        <v>677360</v>
      </c>
      <c r="AN11" s="159">
        <v>0</v>
      </c>
      <c r="AO11" s="161">
        <v>0</v>
      </c>
      <c r="AP11" s="161">
        <v>0</v>
      </c>
      <c r="AQ11" s="161">
        <v>0</v>
      </c>
      <c r="AR11" s="157">
        <f t="shared" si="1"/>
        <v>0</v>
      </c>
      <c r="AS11" s="159">
        <v>0</v>
      </c>
      <c r="AT11" s="161">
        <v>0</v>
      </c>
      <c r="AU11" s="161">
        <v>0</v>
      </c>
      <c r="AV11" s="161">
        <v>0</v>
      </c>
      <c r="AW11" s="157">
        <f t="shared" si="8"/>
        <v>0</v>
      </c>
      <c r="AX11" s="159">
        <v>0</v>
      </c>
      <c r="AY11" s="161">
        <v>0</v>
      </c>
      <c r="AZ11" s="161">
        <v>0</v>
      </c>
      <c r="BA11" s="161">
        <v>0</v>
      </c>
      <c r="BB11" s="157">
        <f t="shared" si="9"/>
        <v>0</v>
      </c>
      <c r="BC11" s="159">
        <v>0</v>
      </c>
      <c r="BD11" s="161">
        <v>0</v>
      </c>
      <c r="BE11" s="161">
        <v>0</v>
      </c>
      <c r="BF11" s="161">
        <v>0</v>
      </c>
      <c r="BG11" s="157">
        <f t="shared" si="10"/>
        <v>0</v>
      </c>
      <c r="BH11" s="159">
        <v>0</v>
      </c>
      <c r="BI11" s="161">
        <v>0</v>
      </c>
      <c r="BJ11" s="161">
        <v>0</v>
      </c>
      <c r="BK11" s="161">
        <v>0</v>
      </c>
      <c r="BL11" s="157">
        <f t="shared" si="11"/>
        <v>0</v>
      </c>
      <c r="BM11" s="159">
        <v>0</v>
      </c>
      <c r="BN11" s="161">
        <v>0</v>
      </c>
      <c r="BO11" s="161">
        <v>0</v>
      </c>
      <c r="BP11" s="161">
        <v>0</v>
      </c>
      <c r="BQ11" s="157">
        <f t="shared" si="12"/>
        <v>0</v>
      </c>
      <c r="BR11" s="159">
        <f t="shared" ref="BR11:BU46" si="16">+J11+O11+T11+Y11+AD11+AI11+AN11+AS11+AX11+BC11+BH11+BM11</f>
        <v>3166072</v>
      </c>
      <c r="BS11" s="337">
        <f t="shared" si="13"/>
        <v>1447603</v>
      </c>
      <c r="BT11" s="161">
        <f t="shared" si="13"/>
        <v>113884</v>
      </c>
      <c r="BU11" s="161">
        <f t="shared" si="13"/>
        <v>0</v>
      </c>
      <c r="BV11" s="159">
        <f>SUM(BR11:BU11)</f>
        <v>4727559</v>
      </c>
      <c r="BW11" s="129"/>
      <c r="BX11" s="368">
        <f>(BV11/I11)*100</f>
        <v>49.625501405504721</v>
      </c>
    </row>
    <row r="12" spans="1:78" x14ac:dyDescent="0.2">
      <c r="A12" s="303">
        <v>6</v>
      </c>
      <c r="B12" s="304" t="s">
        <v>227</v>
      </c>
      <c r="D12" s="305"/>
      <c r="E12" s="338">
        <v>5324404</v>
      </c>
      <c r="F12" s="337">
        <v>882103</v>
      </c>
      <c r="G12" s="337">
        <v>46284</v>
      </c>
      <c r="H12" s="337">
        <v>11</v>
      </c>
      <c r="I12" s="157">
        <f t="shared" si="0"/>
        <v>6252802</v>
      </c>
      <c r="J12" s="159">
        <v>439016</v>
      </c>
      <c r="K12" s="161">
        <v>441489</v>
      </c>
      <c r="L12" s="161">
        <v>6067</v>
      </c>
      <c r="M12" s="161">
        <v>0</v>
      </c>
      <c r="N12" s="157">
        <f t="shared" si="14"/>
        <v>886572</v>
      </c>
      <c r="O12" s="161">
        <v>429861</v>
      </c>
      <c r="P12" s="161">
        <v>12354</v>
      </c>
      <c r="Q12" s="161">
        <v>43184</v>
      </c>
      <c r="R12" s="161">
        <v>0</v>
      </c>
      <c r="S12" s="157">
        <f t="shared" si="3"/>
        <v>485399</v>
      </c>
      <c r="T12" s="159">
        <v>433045</v>
      </c>
      <c r="U12" s="161">
        <v>52997</v>
      </c>
      <c r="V12" s="161">
        <v>4479</v>
      </c>
      <c r="W12" s="161">
        <v>0</v>
      </c>
      <c r="X12" s="157">
        <f t="shared" si="4"/>
        <v>490521</v>
      </c>
      <c r="Y12" s="159">
        <v>489724</v>
      </c>
      <c r="Z12" s="161">
        <v>90780</v>
      </c>
      <c r="AA12" s="161">
        <v>42140</v>
      </c>
      <c r="AB12" s="161">
        <v>529</v>
      </c>
      <c r="AC12" s="157">
        <f t="shared" si="5"/>
        <v>623173</v>
      </c>
      <c r="AD12" s="159">
        <v>436776</v>
      </c>
      <c r="AE12" s="161">
        <v>9295</v>
      </c>
      <c r="AF12" s="161">
        <v>3939</v>
      </c>
      <c r="AG12" s="161">
        <v>0</v>
      </c>
      <c r="AH12" s="157">
        <f t="shared" si="6"/>
        <v>450010</v>
      </c>
      <c r="AI12" s="159">
        <v>504822</v>
      </c>
      <c r="AJ12" s="161">
        <v>15096</v>
      </c>
      <c r="AK12" s="161">
        <v>-72669</v>
      </c>
      <c r="AL12" s="161">
        <v>0</v>
      </c>
      <c r="AM12" s="157">
        <f t="shared" si="7"/>
        <v>447249</v>
      </c>
      <c r="AN12" s="159">
        <v>0</v>
      </c>
      <c r="AO12" s="161">
        <v>0</v>
      </c>
      <c r="AP12" s="161">
        <v>0</v>
      </c>
      <c r="AQ12" s="161">
        <v>0</v>
      </c>
      <c r="AR12" s="157">
        <f t="shared" si="1"/>
        <v>0</v>
      </c>
      <c r="AS12" s="159">
        <v>0</v>
      </c>
      <c r="AT12" s="161">
        <v>0</v>
      </c>
      <c r="AU12" s="161">
        <v>0</v>
      </c>
      <c r="AV12" s="161">
        <v>0</v>
      </c>
      <c r="AW12" s="157">
        <f t="shared" si="8"/>
        <v>0</v>
      </c>
      <c r="AX12" s="159">
        <v>0</v>
      </c>
      <c r="AY12" s="161">
        <v>0</v>
      </c>
      <c r="AZ12" s="161">
        <v>0</v>
      </c>
      <c r="BA12" s="161">
        <v>0</v>
      </c>
      <c r="BB12" s="157">
        <f t="shared" si="9"/>
        <v>0</v>
      </c>
      <c r="BC12" s="159">
        <v>0</v>
      </c>
      <c r="BD12" s="161">
        <v>0</v>
      </c>
      <c r="BE12" s="161">
        <v>0</v>
      </c>
      <c r="BF12" s="161">
        <v>0</v>
      </c>
      <c r="BG12" s="157">
        <f t="shared" si="10"/>
        <v>0</v>
      </c>
      <c r="BH12" s="159">
        <v>0</v>
      </c>
      <c r="BI12" s="161">
        <v>0</v>
      </c>
      <c r="BJ12" s="161">
        <v>0</v>
      </c>
      <c r="BK12" s="161">
        <v>0</v>
      </c>
      <c r="BL12" s="157">
        <f>SUM(BH12:BK12)</f>
        <v>0</v>
      </c>
      <c r="BM12" s="159">
        <v>0</v>
      </c>
      <c r="BN12" s="161">
        <v>0</v>
      </c>
      <c r="BO12" s="161">
        <v>0</v>
      </c>
      <c r="BP12" s="161">
        <v>0</v>
      </c>
      <c r="BQ12" s="157">
        <f t="shared" si="12"/>
        <v>0</v>
      </c>
      <c r="BR12" s="159">
        <f t="shared" si="16"/>
        <v>2733244</v>
      </c>
      <c r="BS12" s="337">
        <f t="shared" si="13"/>
        <v>622011</v>
      </c>
      <c r="BT12" s="161">
        <f t="shared" si="13"/>
        <v>27140</v>
      </c>
      <c r="BU12" s="161">
        <f t="shared" si="13"/>
        <v>529</v>
      </c>
      <c r="BV12" s="159">
        <f t="shared" si="2"/>
        <v>3382924</v>
      </c>
      <c r="BW12" s="129"/>
      <c r="BX12" s="368">
        <f t="shared" si="15"/>
        <v>54.102528754308864</v>
      </c>
    </row>
    <row r="13" spans="1:78" x14ac:dyDescent="0.2">
      <c r="A13" s="303">
        <v>7</v>
      </c>
      <c r="B13" s="304" t="s">
        <v>229</v>
      </c>
      <c r="D13" s="308"/>
      <c r="E13" s="338">
        <v>2016882</v>
      </c>
      <c r="F13" s="337">
        <v>23532338</v>
      </c>
      <c r="G13" s="337">
        <v>13465</v>
      </c>
      <c r="H13" s="337">
        <v>4273816</v>
      </c>
      <c r="I13" s="157">
        <f t="shared" si="0"/>
        <v>29836501</v>
      </c>
      <c r="J13" s="159">
        <v>149165</v>
      </c>
      <c r="K13" s="161">
        <v>1582311</v>
      </c>
      <c r="L13" s="161">
        <v>2036</v>
      </c>
      <c r="M13" s="161">
        <v>0</v>
      </c>
      <c r="N13" s="157">
        <f t="shared" si="14"/>
        <v>1733512</v>
      </c>
      <c r="O13" s="161">
        <v>194420</v>
      </c>
      <c r="P13" s="161">
        <v>1565933</v>
      </c>
      <c r="Q13" s="161">
        <v>1021</v>
      </c>
      <c r="R13" s="161">
        <v>78</v>
      </c>
      <c r="S13" s="157">
        <f t="shared" si="3"/>
        <v>1761452</v>
      </c>
      <c r="T13" s="159">
        <v>90234</v>
      </c>
      <c r="U13" s="161">
        <v>1672323</v>
      </c>
      <c r="V13" s="161">
        <v>2236</v>
      </c>
      <c r="W13" s="161">
        <v>0</v>
      </c>
      <c r="X13" s="157">
        <f t="shared" si="4"/>
        <v>1764793</v>
      </c>
      <c r="Y13" s="159">
        <v>200618</v>
      </c>
      <c r="Z13" s="161">
        <v>1839720</v>
      </c>
      <c r="AA13" s="161">
        <v>712</v>
      </c>
      <c r="AB13" s="161">
        <v>0</v>
      </c>
      <c r="AC13" s="157">
        <f t="shared" si="5"/>
        <v>2041050</v>
      </c>
      <c r="AD13" s="159">
        <v>142937</v>
      </c>
      <c r="AE13" s="161">
        <v>2296090</v>
      </c>
      <c r="AF13" s="161">
        <v>260</v>
      </c>
      <c r="AG13" s="161">
        <v>0</v>
      </c>
      <c r="AH13" s="157">
        <f t="shared" si="6"/>
        <v>2439287</v>
      </c>
      <c r="AI13" s="159">
        <v>124883</v>
      </c>
      <c r="AJ13" s="161">
        <v>1661768</v>
      </c>
      <c r="AK13" s="161">
        <v>1796</v>
      </c>
      <c r="AL13" s="161">
        <v>0</v>
      </c>
      <c r="AM13" s="157">
        <f t="shared" si="7"/>
        <v>1788447</v>
      </c>
      <c r="AN13" s="159">
        <v>0</v>
      </c>
      <c r="AO13" s="161">
        <v>0</v>
      </c>
      <c r="AP13" s="161">
        <v>0</v>
      </c>
      <c r="AQ13" s="161">
        <v>0</v>
      </c>
      <c r="AR13" s="157">
        <f t="shared" si="1"/>
        <v>0</v>
      </c>
      <c r="AS13" s="159">
        <v>0</v>
      </c>
      <c r="AT13" s="161">
        <v>0</v>
      </c>
      <c r="AU13" s="161">
        <v>0</v>
      </c>
      <c r="AV13" s="161">
        <v>0</v>
      </c>
      <c r="AW13" s="157">
        <f t="shared" si="8"/>
        <v>0</v>
      </c>
      <c r="AX13" s="159">
        <v>0</v>
      </c>
      <c r="AY13" s="161">
        <v>0</v>
      </c>
      <c r="AZ13" s="161">
        <v>0</v>
      </c>
      <c r="BA13" s="161">
        <v>0</v>
      </c>
      <c r="BB13" s="157">
        <f t="shared" si="9"/>
        <v>0</v>
      </c>
      <c r="BC13" s="159">
        <v>0</v>
      </c>
      <c r="BD13" s="161">
        <v>0</v>
      </c>
      <c r="BE13" s="161">
        <v>0</v>
      </c>
      <c r="BF13" s="161">
        <v>0</v>
      </c>
      <c r="BG13" s="157">
        <f t="shared" si="10"/>
        <v>0</v>
      </c>
      <c r="BH13" s="159">
        <v>0</v>
      </c>
      <c r="BI13" s="161">
        <v>0</v>
      </c>
      <c r="BJ13" s="161">
        <v>0</v>
      </c>
      <c r="BK13" s="161">
        <v>0</v>
      </c>
      <c r="BL13" s="157">
        <f t="shared" si="11"/>
        <v>0</v>
      </c>
      <c r="BM13" s="159">
        <v>0</v>
      </c>
      <c r="BN13" s="161">
        <v>0</v>
      </c>
      <c r="BO13" s="161">
        <v>0</v>
      </c>
      <c r="BP13" s="161">
        <v>0</v>
      </c>
      <c r="BQ13" s="157">
        <f t="shared" si="12"/>
        <v>0</v>
      </c>
      <c r="BR13" s="159">
        <f t="shared" si="16"/>
        <v>902257</v>
      </c>
      <c r="BS13" s="337">
        <f t="shared" si="13"/>
        <v>10618145</v>
      </c>
      <c r="BT13" s="161">
        <f t="shared" si="13"/>
        <v>8061</v>
      </c>
      <c r="BU13" s="161">
        <f t="shared" si="13"/>
        <v>78</v>
      </c>
      <c r="BV13" s="159">
        <f>SUM(BR13:BU13)</f>
        <v>11528541</v>
      </c>
      <c r="BW13" s="129"/>
      <c r="BX13" s="368">
        <f>(BV13/I13)*100</f>
        <v>38.639051542940642</v>
      </c>
      <c r="BZ13" s="120"/>
    </row>
    <row r="14" spans="1:78" x14ac:dyDescent="0.2">
      <c r="A14" s="303">
        <v>8</v>
      </c>
      <c r="B14" s="304" t="s">
        <v>230</v>
      </c>
      <c r="D14" s="308"/>
      <c r="E14" s="338">
        <v>446047</v>
      </c>
      <c r="F14" s="337">
        <v>460870</v>
      </c>
      <c r="G14" s="337">
        <v>7597</v>
      </c>
      <c r="H14" s="337">
        <v>30</v>
      </c>
      <c r="I14" s="157">
        <f>SUM(E14:H14)</f>
        <v>914544</v>
      </c>
      <c r="J14" s="159">
        <v>28996</v>
      </c>
      <c r="K14" s="161">
        <v>0</v>
      </c>
      <c r="L14" s="161">
        <v>11</v>
      </c>
      <c r="M14" s="161">
        <v>0</v>
      </c>
      <c r="N14" s="157">
        <f t="shared" si="14"/>
        <v>29007</v>
      </c>
      <c r="O14" s="161">
        <v>33122</v>
      </c>
      <c r="P14" s="161">
        <v>110053</v>
      </c>
      <c r="Q14" s="161">
        <v>1109</v>
      </c>
      <c r="R14" s="161">
        <v>0</v>
      </c>
      <c r="S14" s="157">
        <f t="shared" si="3"/>
        <v>144284</v>
      </c>
      <c r="T14" s="159">
        <v>32962</v>
      </c>
      <c r="U14" s="161">
        <v>0</v>
      </c>
      <c r="V14" s="161">
        <v>167</v>
      </c>
      <c r="W14" s="161">
        <v>0</v>
      </c>
      <c r="X14" s="157">
        <f t="shared" si="4"/>
        <v>33129</v>
      </c>
      <c r="Y14" s="159">
        <v>34454</v>
      </c>
      <c r="Z14" s="161">
        <v>35</v>
      </c>
      <c r="AA14" s="161">
        <v>154</v>
      </c>
      <c r="AB14" s="161">
        <v>0</v>
      </c>
      <c r="AC14" s="157">
        <f t="shared" si="5"/>
        <v>34643</v>
      </c>
      <c r="AD14" s="159">
        <v>36533</v>
      </c>
      <c r="AE14" s="161">
        <v>129732</v>
      </c>
      <c r="AF14" s="161">
        <v>139</v>
      </c>
      <c r="AG14" s="161">
        <v>0</v>
      </c>
      <c r="AH14" s="157">
        <f t="shared" si="6"/>
        <v>166404</v>
      </c>
      <c r="AI14" s="159">
        <v>34085</v>
      </c>
      <c r="AJ14" s="161">
        <v>97</v>
      </c>
      <c r="AK14" s="161">
        <v>351</v>
      </c>
      <c r="AL14" s="161">
        <v>1</v>
      </c>
      <c r="AM14" s="157">
        <f t="shared" si="7"/>
        <v>34534</v>
      </c>
      <c r="AN14" s="159">
        <v>0</v>
      </c>
      <c r="AO14" s="161">
        <v>0</v>
      </c>
      <c r="AP14" s="161">
        <v>0</v>
      </c>
      <c r="AQ14" s="161">
        <v>0</v>
      </c>
      <c r="AR14" s="157">
        <f t="shared" si="1"/>
        <v>0</v>
      </c>
      <c r="AS14" s="159">
        <v>0</v>
      </c>
      <c r="AT14" s="161">
        <v>0</v>
      </c>
      <c r="AU14" s="161">
        <v>0</v>
      </c>
      <c r="AV14" s="161">
        <v>0</v>
      </c>
      <c r="AW14" s="157">
        <f t="shared" si="8"/>
        <v>0</v>
      </c>
      <c r="AX14" s="159">
        <v>0</v>
      </c>
      <c r="AY14" s="161">
        <v>0</v>
      </c>
      <c r="AZ14" s="161">
        <v>0</v>
      </c>
      <c r="BA14" s="161">
        <v>0</v>
      </c>
      <c r="BB14" s="157">
        <f t="shared" si="9"/>
        <v>0</v>
      </c>
      <c r="BC14" s="159">
        <v>0</v>
      </c>
      <c r="BD14" s="161">
        <v>0</v>
      </c>
      <c r="BE14" s="161">
        <v>0</v>
      </c>
      <c r="BF14" s="161">
        <v>0</v>
      </c>
      <c r="BG14" s="157">
        <f t="shared" si="10"/>
        <v>0</v>
      </c>
      <c r="BH14" s="159">
        <v>0</v>
      </c>
      <c r="BI14" s="161">
        <v>0</v>
      </c>
      <c r="BJ14" s="161">
        <v>0</v>
      </c>
      <c r="BK14" s="161">
        <v>0</v>
      </c>
      <c r="BL14" s="157">
        <f t="shared" si="11"/>
        <v>0</v>
      </c>
      <c r="BM14" s="159">
        <v>0</v>
      </c>
      <c r="BN14" s="161">
        <v>0</v>
      </c>
      <c r="BO14" s="161">
        <v>0</v>
      </c>
      <c r="BP14" s="161">
        <v>0</v>
      </c>
      <c r="BQ14" s="157">
        <f t="shared" si="12"/>
        <v>0</v>
      </c>
      <c r="BR14" s="159">
        <f t="shared" si="16"/>
        <v>200152</v>
      </c>
      <c r="BS14" s="337">
        <f t="shared" si="13"/>
        <v>239917</v>
      </c>
      <c r="BT14" s="161">
        <f t="shared" si="13"/>
        <v>1931</v>
      </c>
      <c r="BU14" s="161">
        <f t="shared" si="13"/>
        <v>1</v>
      </c>
      <c r="BV14" s="159">
        <f t="shared" si="2"/>
        <v>442001</v>
      </c>
      <c r="BW14" s="129"/>
      <c r="BX14" s="368">
        <f t="shared" si="15"/>
        <v>48.330206091779068</v>
      </c>
    </row>
    <row r="15" spans="1:78" x14ac:dyDescent="0.2">
      <c r="A15" s="303">
        <v>9</v>
      </c>
      <c r="B15" s="86" t="s">
        <v>231</v>
      </c>
      <c r="D15" s="307"/>
      <c r="E15" s="338">
        <v>233990</v>
      </c>
      <c r="F15" s="337">
        <v>8130</v>
      </c>
      <c r="G15" s="337">
        <v>4227</v>
      </c>
      <c r="H15" s="337">
        <v>56600041</v>
      </c>
      <c r="I15" s="157">
        <f>SUM(E15:H15)</f>
        <v>56846388</v>
      </c>
      <c r="J15" s="159">
        <v>22363</v>
      </c>
      <c r="K15" s="161">
        <v>2</v>
      </c>
      <c r="L15" s="161">
        <v>0</v>
      </c>
      <c r="M15" s="161">
        <v>0</v>
      </c>
      <c r="N15" s="157">
        <f t="shared" si="14"/>
        <v>22365</v>
      </c>
      <c r="O15" s="161">
        <v>14051</v>
      </c>
      <c r="P15" s="161">
        <v>19</v>
      </c>
      <c r="Q15" s="161">
        <v>168</v>
      </c>
      <c r="R15" s="161">
        <v>0</v>
      </c>
      <c r="S15" s="157">
        <f t="shared" si="3"/>
        <v>14238</v>
      </c>
      <c r="T15" s="159">
        <v>16701</v>
      </c>
      <c r="U15" s="161">
        <v>1</v>
      </c>
      <c r="V15" s="161">
        <v>449</v>
      </c>
      <c r="W15" s="161">
        <v>0</v>
      </c>
      <c r="X15" s="157">
        <f t="shared" si="4"/>
        <v>17151</v>
      </c>
      <c r="Y15" s="159">
        <v>17978</v>
      </c>
      <c r="Z15" s="161">
        <v>122</v>
      </c>
      <c r="AA15" s="161">
        <v>93</v>
      </c>
      <c r="AB15" s="161">
        <v>0</v>
      </c>
      <c r="AC15" s="157">
        <f t="shared" si="5"/>
        <v>18193</v>
      </c>
      <c r="AD15" s="159">
        <v>22653</v>
      </c>
      <c r="AE15" s="161">
        <v>76</v>
      </c>
      <c r="AF15" s="161">
        <v>255</v>
      </c>
      <c r="AG15" s="161">
        <v>0</v>
      </c>
      <c r="AH15" s="157">
        <f t="shared" si="6"/>
        <v>22984</v>
      </c>
      <c r="AI15" s="159">
        <v>14911</v>
      </c>
      <c r="AJ15" s="161">
        <v>4745</v>
      </c>
      <c r="AK15" s="161">
        <v>-48</v>
      </c>
      <c r="AL15" s="161">
        <v>13500000</v>
      </c>
      <c r="AM15" s="157">
        <f>SUM(AI15:AL15)</f>
        <v>13519608</v>
      </c>
      <c r="AN15" s="159">
        <v>0</v>
      </c>
      <c r="AO15" s="161">
        <v>0</v>
      </c>
      <c r="AP15" s="161">
        <v>0</v>
      </c>
      <c r="AQ15" s="161">
        <v>0</v>
      </c>
      <c r="AR15" s="157">
        <f t="shared" si="1"/>
        <v>0</v>
      </c>
      <c r="AS15" s="159">
        <v>0</v>
      </c>
      <c r="AT15" s="161">
        <v>0</v>
      </c>
      <c r="AU15" s="161">
        <v>0</v>
      </c>
      <c r="AV15" s="161">
        <v>0</v>
      </c>
      <c r="AW15" s="157">
        <f t="shared" si="8"/>
        <v>0</v>
      </c>
      <c r="AX15" s="159">
        <v>0</v>
      </c>
      <c r="AY15" s="161">
        <v>0</v>
      </c>
      <c r="AZ15" s="161">
        <v>0</v>
      </c>
      <c r="BA15" s="161">
        <v>0</v>
      </c>
      <c r="BB15" s="157">
        <f t="shared" si="9"/>
        <v>0</v>
      </c>
      <c r="BC15" s="159">
        <v>0</v>
      </c>
      <c r="BD15" s="161">
        <v>0</v>
      </c>
      <c r="BE15" s="161">
        <v>0</v>
      </c>
      <c r="BF15" s="161">
        <v>0</v>
      </c>
      <c r="BG15" s="157">
        <f t="shared" si="10"/>
        <v>0</v>
      </c>
      <c r="BH15" s="159">
        <v>0</v>
      </c>
      <c r="BI15" s="161">
        <v>0</v>
      </c>
      <c r="BJ15" s="161">
        <v>0</v>
      </c>
      <c r="BK15" s="161">
        <v>0</v>
      </c>
      <c r="BL15" s="157">
        <f t="shared" si="11"/>
        <v>0</v>
      </c>
      <c r="BM15" s="159">
        <v>0</v>
      </c>
      <c r="BN15" s="161">
        <v>0</v>
      </c>
      <c r="BO15" s="161">
        <v>0</v>
      </c>
      <c r="BP15" s="161">
        <v>0</v>
      </c>
      <c r="BQ15" s="157">
        <f t="shared" si="12"/>
        <v>0</v>
      </c>
      <c r="BR15" s="159">
        <f t="shared" si="16"/>
        <v>108657</v>
      </c>
      <c r="BS15" s="337">
        <f t="shared" si="13"/>
        <v>4965</v>
      </c>
      <c r="BT15" s="161">
        <f t="shared" si="13"/>
        <v>917</v>
      </c>
      <c r="BU15" s="161">
        <f>+M15+R15+W15+AB15+AG15+AL15+AQ15+AV15+BA15+BF15+BK15+BP15</f>
        <v>13500000</v>
      </c>
      <c r="BV15" s="159">
        <f t="shared" si="2"/>
        <v>13614539</v>
      </c>
      <c r="BW15" s="129"/>
      <c r="BX15" s="368">
        <f t="shared" si="15"/>
        <v>23.949699319506458</v>
      </c>
      <c r="BZ15" s="120"/>
    </row>
    <row r="16" spans="1:78" x14ac:dyDescent="0.2">
      <c r="A16" s="303">
        <v>10</v>
      </c>
      <c r="B16" s="304" t="s">
        <v>232</v>
      </c>
      <c r="D16" s="305"/>
      <c r="E16" s="338">
        <v>444451</v>
      </c>
      <c r="F16" s="337">
        <v>508245</v>
      </c>
      <c r="G16" s="337">
        <v>3262</v>
      </c>
      <c r="H16" s="337">
        <v>13</v>
      </c>
      <c r="I16" s="157">
        <f t="shared" si="0"/>
        <v>955971</v>
      </c>
      <c r="J16" s="159">
        <v>29256</v>
      </c>
      <c r="K16" s="161">
        <v>39528</v>
      </c>
      <c r="L16" s="161">
        <v>423</v>
      </c>
      <c r="M16" s="161">
        <v>0</v>
      </c>
      <c r="N16" s="157">
        <f t="shared" si="14"/>
        <v>69207</v>
      </c>
      <c r="O16" s="161">
        <v>37301</v>
      </c>
      <c r="P16" s="161">
        <v>37239</v>
      </c>
      <c r="Q16" s="161">
        <v>268</v>
      </c>
      <c r="R16" s="161">
        <v>0</v>
      </c>
      <c r="S16" s="157">
        <f>SUM(O16:R16)</f>
        <v>74808</v>
      </c>
      <c r="T16" s="159">
        <v>30158</v>
      </c>
      <c r="U16" s="161">
        <v>43295</v>
      </c>
      <c r="V16" s="161">
        <v>278</v>
      </c>
      <c r="W16" s="161">
        <v>0</v>
      </c>
      <c r="X16" s="157">
        <f t="shared" si="4"/>
        <v>73731</v>
      </c>
      <c r="Y16" s="159">
        <v>33502</v>
      </c>
      <c r="Z16" s="161">
        <v>44814</v>
      </c>
      <c r="AA16" s="161">
        <v>611</v>
      </c>
      <c r="AB16" s="161">
        <v>0</v>
      </c>
      <c r="AC16" s="157">
        <f t="shared" si="5"/>
        <v>78927</v>
      </c>
      <c r="AD16" s="159">
        <v>33117</v>
      </c>
      <c r="AE16" s="161">
        <v>41736</v>
      </c>
      <c r="AF16" s="161">
        <v>415</v>
      </c>
      <c r="AG16" s="161">
        <v>837</v>
      </c>
      <c r="AH16" s="157">
        <f t="shared" si="6"/>
        <v>76105</v>
      </c>
      <c r="AI16" s="159">
        <v>32396</v>
      </c>
      <c r="AJ16" s="161">
        <v>44878</v>
      </c>
      <c r="AK16" s="161">
        <v>-499</v>
      </c>
      <c r="AL16" s="161">
        <v>-837</v>
      </c>
      <c r="AM16" s="157">
        <f t="shared" si="7"/>
        <v>75938</v>
      </c>
      <c r="AN16" s="159">
        <v>0</v>
      </c>
      <c r="AO16" s="161">
        <v>0</v>
      </c>
      <c r="AP16" s="161">
        <v>0</v>
      </c>
      <c r="AQ16" s="161">
        <v>0</v>
      </c>
      <c r="AR16" s="157">
        <f t="shared" si="1"/>
        <v>0</v>
      </c>
      <c r="AS16" s="159">
        <v>0</v>
      </c>
      <c r="AT16" s="161">
        <v>0</v>
      </c>
      <c r="AU16" s="161">
        <v>0</v>
      </c>
      <c r="AV16" s="161">
        <v>0</v>
      </c>
      <c r="AW16" s="157">
        <f t="shared" si="8"/>
        <v>0</v>
      </c>
      <c r="AX16" s="159">
        <v>0</v>
      </c>
      <c r="AY16" s="161">
        <v>0</v>
      </c>
      <c r="AZ16" s="161">
        <v>0</v>
      </c>
      <c r="BA16" s="161">
        <v>0</v>
      </c>
      <c r="BB16" s="157">
        <f t="shared" si="9"/>
        <v>0</v>
      </c>
      <c r="BC16" s="159">
        <v>0</v>
      </c>
      <c r="BD16" s="161">
        <v>0</v>
      </c>
      <c r="BE16" s="161">
        <v>0</v>
      </c>
      <c r="BF16" s="161">
        <v>0</v>
      </c>
      <c r="BG16" s="157">
        <f t="shared" si="10"/>
        <v>0</v>
      </c>
      <c r="BH16" s="159">
        <v>0</v>
      </c>
      <c r="BI16" s="161">
        <v>0</v>
      </c>
      <c r="BJ16" s="161">
        <v>0</v>
      </c>
      <c r="BK16" s="161">
        <v>0</v>
      </c>
      <c r="BL16" s="157">
        <f>SUM(BH16:BK16)</f>
        <v>0</v>
      </c>
      <c r="BM16" s="159">
        <v>0</v>
      </c>
      <c r="BN16" s="161">
        <v>0</v>
      </c>
      <c r="BO16" s="161">
        <v>0</v>
      </c>
      <c r="BP16" s="161">
        <v>0</v>
      </c>
      <c r="BQ16" s="157">
        <f t="shared" si="12"/>
        <v>0</v>
      </c>
      <c r="BR16" s="159">
        <f t="shared" si="16"/>
        <v>195730</v>
      </c>
      <c r="BS16" s="337">
        <f t="shared" si="13"/>
        <v>251490</v>
      </c>
      <c r="BT16" s="161">
        <f t="shared" si="13"/>
        <v>1496</v>
      </c>
      <c r="BU16" s="161">
        <f t="shared" si="13"/>
        <v>0</v>
      </c>
      <c r="BV16" s="159">
        <f t="shared" si="2"/>
        <v>448716</v>
      </c>
      <c r="BW16" s="129"/>
      <c r="BX16" s="368">
        <f t="shared" si="15"/>
        <v>46.938243942546379</v>
      </c>
    </row>
    <row r="17" spans="1:80" x14ac:dyDescent="0.2">
      <c r="A17" s="303">
        <v>11</v>
      </c>
      <c r="B17" s="281" t="s">
        <v>300</v>
      </c>
      <c r="D17" s="307"/>
      <c r="E17" s="338">
        <v>854754</v>
      </c>
      <c r="F17" s="337">
        <v>6874183</v>
      </c>
      <c r="G17" s="337">
        <v>17466</v>
      </c>
      <c r="H17" s="337">
        <v>148</v>
      </c>
      <c r="I17" s="157">
        <f t="shared" si="0"/>
        <v>7746551</v>
      </c>
      <c r="J17" s="159">
        <v>56180</v>
      </c>
      <c r="K17" s="161">
        <v>1231312</v>
      </c>
      <c r="L17" s="161">
        <v>193</v>
      </c>
      <c r="M17" s="161">
        <v>0</v>
      </c>
      <c r="N17" s="157">
        <f t="shared" si="14"/>
        <v>1287685</v>
      </c>
      <c r="O17" s="161">
        <v>64574</v>
      </c>
      <c r="P17" s="161">
        <v>156127</v>
      </c>
      <c r="Q17" s="161">
        <v>1403</v>
      </c>
      <c r="R17" s="161">
        <v>0</v>
      </c>
      <c r="S17" s="157">
        <f>SUM(O17:R17)</f>
        <v>222104</v>
      </c>
      <c r="T17" s="159">
        <v>98696</v>
      </c>
      <c r="U17" s="161">
        <v>394727</v>
      </c>
      <c r="V17" s="161">
        <v>2008</v>
      </c>
      <c r="W17" s="161">
        <v>0</v>
      </c>
      <c r="X17" s="157">
        <f t="shared" si="4"/>
        <v>495431</v>
      </c>
      <c r="Y17" s="159">
        <v>65628</v>
      </c>
      <c r="Z17" s="161">
        <v>1057255</v>
      </c>
      <c r="AA17" s="161">
        <v>1220</v>
      </c>
      <c r="AB17" s="161">
        <v>0</v>
      </c>
      <c r="AC17" s="157">
        <f t="shared" si="5"/>
        <v>1124103</v>
      </c>
      <c r="AD17" s="159">
        <v>78891</v>
      </c>
      <c r="AE17" s="161">
        <v>352032</v>
      </c>
      <c r="AF17" s="161">
        <v>5515</v>
      </c>
      <c r="AG17" s="161">
        <v>0</v>
      </c>
      <c r="AH17" s="157">
        <f t="shared" si="6"/>
        <v>436438</v>
      </c>
      <c r="AI17" s="159">
        <v>64686</v>
      </c>
      <c r="AJ17" s="161">
        <v>145775</v>
      </c>
      <c r="AK17" s="161">
        <v>1304</v>
      </c>
      <c r="AL17" s="161">
        <v>0</v>
      </c>
      <c r="AM17" s="157">
        <f t="shared" si="7"/>
        <v>211765</v>
      </c>
      <c r="AN17" s="159">
        <v>0</v>
      </c>
      <c r="AO17" s="161">
        <v>0</v>
      </c>
      <c r="AP17" s="161">
        <v>0</v>
      </c>
      <c r="AQ17" s="161">
        <v>0</v>
      </c>
      <c r="AR17" s="157">
        <f t="shared" si="1"/>
        <v>0</v>
      </c>
      <c r="AS17" s="159">
        <v>0</v>
      </c>
      <c r="AT17" s="161">
        <v>0</v>
      </c>
      <c r="AU17" s="161">
        <v>0</v>
      </c>
      <c r="AV17" s="161">
        <v>0</v>
      </c>
      <c r="AW17" s="157">
        <f t="shared" si="8"/>
        <v>0</v>
      </c>
      <c r="AX17" s="159">
        <v>0</v>
      </c>
      <c r="AY17" s="161">
        <v>0</v>
      </c>
      <c r="AZ17" s="161">
        <v>0</v>
      </c>
      <c r="BA17" s="161">
        <v>0</v>
      </c>
      <c r="BB17" s="157">
        <f>SUM(AX17:BA17)</f>
        <v>0</v>
      </c>
      <c r="BC17" s="159">
        <v>0</v>
      </c>
      <c r="BD17" s="161">
        <v>0</v>
      </c>
      <c r="BE17" s="161">
        <v>0</v>
      </c>
      <c r="BF17" s="161">
        <v>0</v>
      </c>
      <c r="BG17" s="157">
        <f t="shared" si="10"/>
        <v>0</v>
      </c>
      <c r="BH17" s="159">
        <v>0</v>
      </c>
      <c r="BI17" s="161">
        <v>0</v>
      </c>
      <c r="BJ17" s="161">
        <v>0</v>
      </c>
      <c r="BK17" s="161">
        <v>0</v>
      </c>
      <c r="BL17" s="157">
        <f t="shared" si="11"/>
        <v>0</v>
      </c>
      <c r="BM17" s="159">
        <v>0</v>
      </c>
      <c r="BN17" s="161">
        <v>0</v>
      </c>
      <c r="BO17" s="161">
        <v>0</v>
      </c>
      <c r="BP17" s="161">
        <v>0</v>
      </c>
      <c r="BQ17" s="157">
        <f t="shared" si="12"/>
        <v>0</v>
      </c>
      <c r="BR17" s="159">
        <f t="shared" si="16"/>
        <v>428655</v>
      </c>
      <c r="BS17" s="337">
        <f t="shared" si="13"/>
        <v>3337228</v>
      </c>
      <c r="BT17" s="161">
        <f t="shared" si="13"/>
        <v>11643</v>
      </c>
      <c r="BU17" s="161">
        <f t="shared" si="13"/>
        <v>0</v>
      </c>
      <c r="BV17" s="159">
        <f t="shared" si="2"/>
        <v>3777526</v>
      </c>
      <c r="BW17" s="129"/>
      <c r="BX17" s="368">
        <f t="shared" si="15"/>
        <v>48.763972508539602</v>
      </c>
    </row>
    <row r="18" spans="1:80" x14ac:dyDescent="0.2">
      <c r="A18" s="303">
        <v>12</v>
      </c>
      <c r="B18" s="304" t="s">
        <v>235</v>
      </c>
      <c r="D18" s="308"/>
      <c r="E18" s="338">
        <v>2228979</v>
      </c>
      <c r="F18" s="337">
        <v>3274</v>
      </c>
      <c r="G18" s="337">
        <v>313772</v>
      </c>
      <c r="H18" s="337">
        <v>8638</v>
      </c>
      <c r="I18" s="157">
        <f t="shared" si="0"/>
        <v>2554663</v>
      </c>
      <c r="J18" s="159">
        <v>144532</v>
      </c>
      <c r="K18" s="161">
        <v>75</v>
      </c>
      <c r="L18" s="161">
        <v>21611</v>
      </c>
      <c r="M18" s="161">
        <v>0</v>
      </c>
      <c r="N18" s="157">
        <f t="shared" si="14"/>
        <v>166218</v>
      </c>
      <c r="O18" s="161">
        <v>170732</v>
      </c>
      <c r="P18" s="161">
        <v>4730</v>
      </c>
      <c r="Q18" s="161">
        <v>21913</v>
      </c>
      <c r="R18" s="161">
        <v>0</v>
      </c>
      <c r="S18" s="157">
        <f>SUM(O18:R18)</f>
        <v>197375</v>
      </c>
      <c r="T18" s="159">
        <v>169470</v>
      </c>
      <c r="U18" s="161">
        <v>-4219</v>
      </c>
      <c r="V18" s="161">
        <v>22083</v>
      </c>
      <c r="W18" s="161">
        <v>0</v>
      </c>
      <c r="X18" s="157">
        <f t="shared" si="4"/>
        <v>187334</v>
      </c>
      <c r="Y18" s="159">
        <v>172504</v>
      </c>
      <c r="Z18" s="161">
        <v>43</v>
      </c>
      <c r="AA18" s="161">
        <v>21481</v>
      </c>
      <c r="AB18" s="161">
        <v>0</v>
      </c>
      <c r="AC18" s="157">
        <f t="shared" si="5"/>
        <v>194028</v>
      </c>
      <c r="AD18" s="159">
        <v>172018</v>
      </c>
      <c r="AE18" s="161">
        <v>515</v>
      </c>
      <c r="AF18" s="161">
        <v>21655</v>
      </c>
      <c r="AG18" s="161">
        <v>0</v>
      </c>
      <c r="AH18" s="157">
        <f t="shared" si="6"/>
        <v>194188</v>
      </c>
      <c r="AI18" s="159">
        <v>174780</v>
      </c>
      <c r="AJ18" s="161">
        <v>136</v>
      </c>
      <c r="AK18" s="161">
        <v>26745</v>
      </c>
      <c r="AL18" s="161">
        <v>0</v>
      </c>
      <c r="AM18" s="157">
        <f>SUM(AI18:AL18)</f>
        <v>201661</v>
      </c>
      <c r="AN18" s="159">
        <v>0</v>
      </c>
      <c r="AO18" s="161">
        <v>0</v>
      </c>
      <c r="AP18" s="161">
        <v>0</v>
      </c>
      <c r="AQ18" s="161">
        <v>0</v>
      </c>
      <c r="AR18" s="157">
        <f t="shared" si="1"/>
        <v>0</v>
      </c>
      <c r="AS18" s="159">
        <v>0</v>
      </c>
      <c r="AT18" s="161">
        <v>0</v>
      </c>
      <c r="AU18" s="161">
        <v>0</v>
      </c>
      <c r="AV18" s="161">
        <v>0</v>
      </c>
      <c r="AW18" s="157">
        <f t="shared" si="8"/>
        <v>0</v>
      </c>
      <c r="AX18" s="159">
        <v>0</v>
      </c>
      <c r="AY18" s="161">
        <v>0</v>
      </c>
      <c r="AZ18" s="161">
        <v>0</v>
      </c>
      <c r="BA18" s="161">
        <v>0</v>
      </c>
      <c r="BB18" s="157">
        <f t="shared" si="9"/>
        <v>0</v>
      </c>
      <c r="BC18" s="159">
        <v>0</v>
      </c>
      <c r="BD18" s="161">
        <v>0</v>
      </c>
      <c r="BE18" s="161">
        <v>0</v>
      </c>
      <c r="BF18" s="161">
        <v>0</v>
      </c>
      <c r="BG18" s="157">
        <f t="shared" si="10"/>
        <v>0</v>
      </c>
      <c r="BH18" s="159">
        <v>0</v>
      </c>
      <c r="BI18" s="161">
        <v>0</v>
      </c>
      <c r="BJ18" s="161">
        <v>0</v>
      </c>
      <c r="BK18" s="161">
        <v>0</v>
      </c>
      <c r="BL18" s="157">
        <f t="shared" si="11"/>
        <v>0</v>
      </c>
      <c r="BM18" s="159">
        <v>0</v>
      </c>
      <c r="BN18" s="161">
        <v>0</v>
      </c>
      <c r="BO18" s="161">
        <v>0</v>
      </c>
      <c r="BP18" s="161">
        <v>0</v>
      </c>
      <c r="BQ18" s="157">
        <f t="shared" si="12"/>
        <v>0</v>
      </c>
      <c r="BR18" s="159">
        <f t="shared" si="16"/>
        <v>1004036</v>
      </c>
      <c r="BS18" s="337">
        <f t="shared" si="13"/>
        <v>1280</v>
      </c>
      <c r="BT18" s="161">
        <f t="shared" si="13"/>
        <v>135488</v>
      </c>
      <c r="BU18" s="161">
        <f t="shared" si="13"/>
        <v>0</v>
      </c>
      <c r="BV18" s="159">
        <f t="shared" si="2"/>
        <v>1140804</v>
      </c>
      <c r="BW18" s="129"/>
      <c r="BX18" s="368">
        <f t="shared" si="15"/>
        <v>44.655753028873086</v>
      </c>
      <c r="BY18" s="161"/>
      <c r="BZ18" s="161"/>
      <c r="CA18" s="161"/>
    </row>
    <row r="19" spans="1:80" x14ac:dyDescent="0.2">
      <c r="A19" s="303">
        <v>13</v>
      </c>
      <c r="B19" s="281" t="s">
        <v>301</v>
      </c>
      <c r="D19" s="305"/>
      <c r="E19" s="338">
        <v>151639</v>
      </c>
      <c r="F19" s="337">
        <v>87146</v>
      </c>
      <c r="G19" s="337">
        <v>2702</v>
      </c>
      <c r="H19" s="337">
        <v>381</v>
      </c>
      <c r="I19" s="157">
        <f t="shared" si="0"/>
        <v>241868</v>
      </c>
      <c r="J19" s="159">
        <v>12411</v>
      </c>
      <c r="K19" s="161">
        <v>7099</v>
      </c>
      <c r="L19" s="161">
        <v>38</v>
      </c>
      <c r="M19" s="161">
        <v>0</v>
      </c>
      <c r="N19" s="157">
        <f t="shared" si="14"/>
        <v>19548</v>
      </c>
      <c r="O19" s="161">
        <v>11788</v>
      </c>
      <c r="P19" s="161">
        <v>7098</v>
      </c>
      <c r="Q19" s="161">
        <v>20</v>
      </c>
      <c r="R19" s="161">
        <v>0</v>
      </c>
      <c r="S19" s="157">
        <f>SUM(O19:R19)</f>
        <v>18906</v>
      </c>
      <c r="T19" s="159">
        <v>14919</v>
      </c>
      <c r="U19" s="161">
        <v>7404</v>
      </c>
      <c r="V19" s="161">
        <v>41</v>
      </c>
      <c r="W19" s="161">
        <v>0</v>
      </c>
      <c r="X19" s="157">
        <f t="shared" si="4"/>
        <v>22364</v>
      </c>
      <c r="Y19" s="159">
        <v>11162</v>
      </c>
      <c r="Z19" s="161">
        <v>8233</v>
      </c>
      <c r="AA19" s="161">
        <v>116</v>
      </c>
      <c r="AB19" s="161">
        <v>0</v>
      </c>
      <c r="AC19" s="157">
        <f t="shared" si="5"/>
        <v>19511</v>
      </c>
      <c r="AD19" s="159">
        <v>12774</v>
      </c>
      <c r="AE19" s="161">
        <v>7131</v>
      </c>
      <c r="AF19" s="161">
        <v>480</v>
      </c>
      <c r="AG19" s="161">
        <v>0</v>
      </c>
      <c r="AH19" s="157">
        <f t="shared" si="6"/>
        <v>20385</v>
      </c>
      <c r="AI19" s="159">
        <v>11630</v>
      </c>
      <c r="AJ19" s="161">
        <v>7098</v>
      </c>
      <c r="AK19" s="161">
        <v>19</v>
      </c>
      <c r="AL19" s="161">
        <v>0</v>
      </c>
      <c r="AM19" s="157">
        <f t="shared" si="7"/>
        <v>18747</v>
      </c>
      <c r="AN19" s="159">
        <v>0</v>
      </c>
      <c r="AO19" s="161">
        <v>0</v>
      </c>
      <c r="AP19" s="161">
        <v>0</v>
      </c>
      <c r="AQ19" s="161">
        <v>0</v>
      </c>
      <c r="AR19" s="157">
        <f t="shared" si="1"/>
        <v>0</v>
      </c>
      <c r="AS19" s="159">
        <v>0</v>
      </c>
      <c r="AT19" s="161">
        <v>0</v>
      </c>
      <c r="AU19" s="161">
        <v>0</v>
      </c>
      <c r="AV19" s="161">
        <v>0</v>
      </c>
      <c r="AW19" s="157">
        <f t="shared" si="8"/>
        <v>0</v>
      </c>
      <c r="AX19" s="159">
        <v>0</v>
      </c>
      <c r="AY19" s="161">
        <v>0</v>
      </c>
      <c r="AZ19" s="161">
        <v>0</v>
      </c>
      <c r="BA19" s="161">
        <v>0</v>
      </c>
      <c r="BB19" s="157">
        <f t="shared" si="9"/>
        <v>0</v>
      </c>
      <c r="BC19" s="159">
        <v>0</v>
      </c>
      <c r="BD19" s="161">
        <v>0</v>
      </c>
      <c r="BE19" s="161">
        <v>0</v>
      </c>
      <c r="BF19" s="161">
        <v>0</v>
      </c>
      <c r="BG19" s="157">
        <f t="shared" si="10"/>
        <v>0</v>
      </c>
      <c r="BH19" s="159">
        <v>0</v>
      </c>
      <c r="BI19" s="161">
        <v>0</v>
      </c>
      <c r="BJ19" s="161">
        <v>0</v>
      </c>
      <c r="BK19" s="161">
        <v>0</v>
      </c>
      <c r="BL19" s="157">
        <f t="shared" si="11"/>
        <v>0</v>
      </c>
      <c r="BM19" s="159">
        <v>0</v>
      </c>
      <c r="BN19" s="161">
        <v>0</v>
      </c>
      <c r="BO19" s="161">
        <v>0</v>
      </c>
      <c r="BP19" s="161">
        <v>0</v>
      </c>
      <c r="BQ19" s="157">
        <f t="shared" si="12"/>
        <v>0</v>
      </c>
      <c r="BR19" s="159">
        <f t="shared" si="16"/>
        <v>74684</v>
      </c>
      <c r="BS19" s="337">
        <f t="shared" si="13"/>
        <v>44063</v>
      </c>
      <c r="BT19" s="161">
        <f t="shared" si="13"/>
        <v>714</v>
      </c>
      <c r="BU19" s="161">
        <f t="shared" si="13"/>
        <v>0</v>
      </c>
      <c r="BV19" s="159">
        <f t="shared" si="2"/>
        <v>119461</v>
      </c>
      <c r="BW19" s="129"/>
      <c r="BX19" s="368">
        <f t="shared" si="15"/>
        <v>49.390990126846049</v>
      </c>
    </row>
    <row r="20" spans="1:80" x14ac:dyDescent="0.2">
      <c r="A20" s="303">
        <v>14</v>
      </c>
      <c r="B20" s="304" t="s">
        <v>237</v>
      </c>
      <c r="D20" s="305"/>
      <c r="E20" s="338">
        <v>2523549</v>
      </c>
      <c r="F20" s="337">
        <v>20110536</v>
      </c>
      <c r="G20" s="337">
        <v>1100475</v>
      </c>
      <c r="H20" s="337">
        <v>239</v>
      </c>
      <c r="I20" s="157">
        <f t="shared" si="0"/>
        <v>23734799</v>
      </c>
      <c r="J20" s="159">
        <v>79776</v>
      </c>
      <c r="K20" s="161">
        <v>3234436</v>
      </c>
      <c r="L20" s="161">
        <v>7750</v>
      </c>
      <c r="M20" s="161">
        <v>180</v>
      </c>
      <c r="N20" s="157">
        <f t="shared" si="14"/>
        <v>3322142</v>
      </c>
      <c r="O20" s="161">
        <v>83503</v>
      </c>
      <c r="P20" s="161">
        <v>3983819</v>
      </c>
      <c r="Q20" s="161">
        <v>69221</v>
      </c>
      <c r="R20" s="161">
        <v>5</v>
      </c>
      <c r="S20" s="157">
        <f>SUM(O20:R20)</f>
        <v>4136548</v>
      </c>
      <c r="T20" s="159">
        <v>93693</v>
      </c>
      <c r="U20" s="161">
        <v>690231</v>
      </c>
      <c r="V20" s="161">
        <v>65939</v>
      </c>
      <c r="W20" s="161">
        <v>1</v>
      </c>
      <c r="X20" s="157">
        <f t="shared" si="4"/>
        <v>849864</v>
      </c>
      <c r="Y20" s="159">
        <v>133545</v>
      </c>
      <c r="Z20" s="161">
        <v>1403599</v>
      </c>
      <c r="AA20" s="161">
        <v>81075</v>
      </c>
      <c r="AB20" s="161">
        <v>0</v>
      </c>
      <c r="AC20" s="157">
        <f t="shared" si="5"/>
        <v>1618219</v>
      </c>
      <c r="AD20" s="159">
        <v>495369</v>
      </c>
      <c r="AE20" s="161">
        <v>2653655</v>
      </c>
      <c r="AF20" s="161">
        <v>212268</v>
      </c>
      <c r="AG20" s="161">
        <v>0</v>
      </c>
      <c r="AH20" s="157">
        <f t="shared" si="6"/>
        <v>3361292</v>
      </c>
      <c r="AI20" s="159">
        <v>133519</v>
      </c>
      <c r="AJ20" s="161">
        <v>781681</v>
      </c>
      <c r="AK20" s="161">
        <v>113406</v>
      </c>
      <c r="AL20" s="161">
        <v>0</v>
      </c>
      <c r="AM20" s="157">
        <f t="shared" si="7"/>
        <v>1028606</v>
      </c>
      <c r="AN20" s="159">
        <v>0</v>
      </c>
      <c r="AO20" s="161">
        <v>0</v>
      </c>
      <c r="AP20" s="161">
        <v>0</v>
      </c>
      <c r="AQ20" s="161">
        <v>0</v>
      </c>
      <c r="AR20" s="157">
        <f t="shared" si="1"/>
        <v>0</v>
      </c>
      <c r="AS20" s="159">
        <v>0</v>
      </c>
      <c r="AT20" s="161">
        <v>0</v>
      </c>
      <c r="AU20" s="161">
        <v>0</v>
      </c>
      <c r="AV20" s="161">
        <v>0</v>
      </c>
      <c r="AW20" s="157">
        <f t="shared" si="8"/>
        <v>0</v>
      </c>
      <c r="AX20" s="159">
        <v>0</v>
      </c>
      <c r="AY20" s="161">
        <v>0</v>
      </c>
      <c r="AZ20" s="161">
        <v>0</v>
      </c>
      <c r="BA20" s="161">
        <v>0</v>
      </c>
      <c r="BB20" s="157">
        <f t="shared" si="9"/>
        <v>0</v>
      </c>
      <c r="BC20" s="159">
        <v>0</v>
      </c>
      <c r="BD20" s="161">
        <v>0</v>
      </c>
      <c r="BE20" s="161">
        <v>0</v>
      </c>
      <c r="BF20" s="161">
        <v>0</v>
      </c>
      <c r="BG20" s="157">
        <f t="shared" si="10"/>
        <v>0</v>
      </c>
      <c r="BH20" s="159">
        <v>0</v>
      </c>
      <c r="BI20" s="161">
        <v>0</v>
      </c>
      <c r="BJ20" s="161">
        <v>0</v>
      </c>
      <c r="BK20" s="161">
        <v>0</v>
      </c>
      <c r="BL20" s="157">
        <f t="shared" si="11"/>
        <v>0</v>
      </c>
      <c r="BM20" s="159">
        <v>0</v>
      </c>
      <c r="BN20" s="161">
        <v>0</v>
      </c>
      <c r="BO20" s="161">
        <v>0</v>
      </c>
      <c r="BP20" s="161">
        <v>0</v>
      </c>
      <c r="BQ20" s="157">
        <f t="shared" si="12"/>
        <v>0</v>
      </c>
      <c r="BR20" s="159">
        <f t="shared" si="16"/>
        <v>1019405</v>
      </c>
      <c r="BS20" s="337">
        <f t="shared" si="13"/>
        <v>12747421</v>
      </c>
      <c r="BT20" s="161">
        <f t="shared" si="13"/>
        <v>549659</v>
      </c>
      <c r="BU20" s="161">
        <f t="shared" si="13"/>
        <v>186</v>
      </c>
      <c r="BV20" s="159">
        <f t="shared" si="2"/>
        <v>14316671</v>
      </c>
      <c r="BW20" s="129"/>
      <c r="BX20" s="368">
        <f t="shared" si="15"/>
        <v>60.319326908982887</v>
      </c>
      <c r="BY20" s="120"/>
      <c r="BZ20" s="120"/>
      <c r="CA20" s="120"/>
      <c r="CB20" s="120"/>
    </row>
    <row r="21" spans="1:80" x14ac:dyDescent="0.2">
      <c r="A21" s="303">
        <v>15</v>
      </c>
      <c r="B21" s="304" t="s">
        <v>238</v>
      </c>
      <c r="D21" s="308"/>
      <c r="E21" s="338">
        <v>9908959</v>
      </c>
      <c r="F21" s="337">
        <v>78893530</v>
      </c>
      <c r="G21" s="337">
        <v>7927</v>
      </c>
      <c r="H21" s="337">
        <v>1599</v>
      </c>
      <c r="I21" s="157">
        <f t="shared" si="0"/>
        <v>88812015</v>
      </c>
      <c r="J21" s="159">
        <v>762757</v>
      </c>
      <c r="K21" s="161">
        <v>19038631</v>
      </c>
      <c r="L21" s="161">
        <v>780</v>
      </c>
      <c r="M21" s="161">
        <v>1</v>
      </c>
      <c r="N21" s="157">
        <f t="shared" si="14"/>
        <v>19802169</v>
      </c>
      <c r="O21" s="161">
        <v>715486</v>
      </c>
      <c r="P21" s="161">
        <v>8936316</v>
      </c>
      <c r="Q21" s="161">
        <v>248</v>
      </c>
      <c r="R21" s="161">
        <v>1</v>
      </c>
      <c r="S21" s="157">
        <f t="shared" ref="S21:S27" si="17">SUM(O21:R21)</f>
        <v>9652051</v>
      </c>
      <c r="T21" s="159">
        <v>775576</v>
      </c>
      <c r="U21" s="161">
        <v>10765997</v>
      </c>
      <c r="V21" s="161">
        <v>132</v>
      </c>
      <c r="W21" s="161">
        <v>0</v>
      </c>
      <c r="X21" s="157">
        <f t="shared" si="4"/>
        <v>11541705</v>
      </c>
      <c r="Y21" s="159">
        <v>760051</v>
      </c>
      <c r="Z21" s="161">
        <v>4154468</v>
      </c>
      <c r="AA21" s="161">
        <v>426</v>
      </c>
      <c r="AB21" s="161">
        <v>3</v>
      </c>
      <c r="AC21" s="157">
        <f t="shared" si="5"/>
        <v>4914948</v>
      </c>
      <c r="AD21" s="159">
        <v>797538</v>
      </c>
      <c r="AE21" s="161">
        <v>11187843</v>
      </c>
      <c r="AF21" s="161">
        <v>381</v>
      </c>
      <c r="AG21" s="161">
        <v>0</v>
      </c>
      <c r="AH21" s="157">
        <f t="shared" si="6"/>
        <v>11985762</v>
      </c>
      <c r="AI21" s="159">
        <v>844326</v>
      </c>
      <c r="AJ21" s="161">
        <v>4765797</v>
      </c>
      <c r="AK21" s="161">
        <v>96</v>
      </c>
      <c r="AL21" s="161">
        <v>0</v>
      </c>
      <c r="AM21" s="157">
        <f t="shared" si="7"/>
        <v>5610219</v>
      </c>
      <c r="AN21" s="159">
        <v>0</v>
      </c>
      <c r="AO21" s="161">
        <v>0</v>
      </c>
      <c r="AP21" s="161">
        <v>0</v>
      </c>
      <c r="AQ21" s="161">
        <v>0</v>
      </c>
      <c r="AR21" s="157">
        <f t="shared" si="1"/>
        <v>0</v>
      </c>
      <c r="AS21" s="159">
        <v>0</v>
      </c>
      <c r="AT21" s="161">
        <v>0</v>
      </c>
      <c r="AU21" s="161">
        <v>0</v>
      </c>
      <c r="AV21" s="161">
        <v>0</v>
      </c>
      <c r="AW21" s="157">
        <f t="shared" si="8"/>
        <v>0</v>
      </c>
      <c r="AX21" s="159">
        <v>0</v>
      </c>
      <c r="AY21" s="161">
        <v>0</v>
      </c>
      <c r="AZ21" s="161">
        <v>0</v>
      </c>
      <c r="BA21" s="161">
        <v>0</v>
      </c>
      <c r="BB21" s="157">
        <f t="shared" si="9"/>
        <v>0</v>
      </c>
      <c r="BC21" s="159">
        <v>0</v>
      </c>
      <c r="BD21" s="161">
        <v>0</v>
      </c>
      <c r="BE21" s="161">
        <v>0</v>
      </c>
      <c r="BF21" s="161">
        <v>0</v>
      </c>
      <c r="BG21" s="157">
        <f t="shared" si="10"/>
        <v>0</v>
      </c>
      <c r="BH21" s="159">
        <v>0</v>
      </c>
      <c r="BI21" s="161">
        <v>0</v>
      </c>
      <c r="BJ21" s="161">
        <v>0</v>
      </c>
      <c r="BK21" s="161">
        <v>0</v>
      </c>
      <c r="BL21" s="157">
        <f t="shared" si="11"/>
        <v>0</v>
      </c>
      <c r="BM21" s="159">
        <v>0</v>
      </c>
      <c r="BN21" s="161">
        <v>0</v>
      </c>
      <c r="BO21" s="161">
        <v>0</v>
      </c>
      <c r="BP21" s="161">
        <v>0</v>
      </c>
      <c r="BQ21" s="157">
        <f t="shared" si="12"/>
        <v>0</v>
      </c>
      <c r="BR21" s="159">
        <f t="shared" si="16"/>
        <v>4655734</v>
      </c>
      <c r="BS21" s="337">
        <f t="shared" si="13"/>
        <v>58849052</v>
      </c>
      <c r="BT21" s="161">
        <f t="shared" si="13"/>
        <v>2063</v>
      </c>
      <c r="BU21" s="161">
        <f t="shared" si="13"/>
        <v>5</v>
      </c>
      <c r="BV21" s="159">
        <f t="shared" si="2"/>
        <v>63506854</v>
      </c>
      <c r="BW21" s="129"/>
      <c r="BX21" s="368">
        <f t="shared" si="15"/>
        <v>71.507052283410076</v>
      </c>
      <c r="BY21" s="120"/>
    </row>
    <row r="22" spans="1:80" x14ac:dyDescent="0.2">
      <c r="A22" s="303">
        <v>16</v>
      </c>
      <c r="B22" s="304" t="s">
        <v>239</v>
      </c>
      <c r="D22" s="305"/>
      <c r="E22" s="338">
        <v>2115312</v>
      </c>
      <c r="F22" s="337">
        <v>47863189</v>
      </c>
      <c r="G22" s="337">
        <v>827439</v>
      </c>
      <c r="H22" s="337">
        <v>0</v>
      </c>
      <c r="I22" s="157">
        <f t="shared" si="0"/>
        <v>50805940</v>
      </c>
      <c r="J22" s="159">
        <v>97182</v>
      </c>
      <c r="K22" s="161">
        <v>5527538</v>
      </c>
      <c r="L22" s="161">
        <v>1585</v>
      </c>
      <c r="M22" s="161">
        <v>0</v>
      </c>
      <c r="N22" s="157">
        <f t="shared" si="14"/>
        <v>5626305</v>
      </c>
      <c r="O22" s="161">
        <v>111121</v>
      </c>
      <c r="P22" s="161">
        <v>3249197</v>
      </c>
      <c r="Q22" s="161">
        <v>14590</v>
      </c>
      <c r="R22" s="161">
        <v>0</v>
      </c>
      <c r="S22" s="157">
        <f t="shared" si="17"/>
        <v>3374908</v>
      </c>
      <c r="T22" s="159">
        <v>130668</v>
      </c>
      <c r="U22" s="161">
        <v>3289852</v>
      </c>
      <c r="V22" s="161">
        <v>53737</v>
      </c>
      <c r="W22" s="161">
        <v>0</v>
      </c>
      <c r="X22" s="157">
        <f t="shared" si="4"/>
        <v>3474257</v>
      </c>
      <c r="Y22" s="159">
        <v>174782</v>
      </c>
      <c r="Z22" s="161">
        <v>5294934</v>
      </c>
      <c r="AA22" s="161">
        <v>77787</v>
      </c>
      <c r="AB22" s="161">
        <v>0</v>
      </c>
      <c r="AC22" s="157">
        <f t="shared" si="5"/>
        <v>5547503</v>
      </c>
      <c r="AD22" s="159">
        <v>158079</v>
      </c>
      <c r="AE22" s="161">
        <v>3248753</v>
      </c>
      <c r="AF22" s="161">
        <v>64015</v>
      </c>
      <c r="AG22" s="161">
        <v>0</v>
      </c>
      <c r="AH22" s="157">
        <f t="shared" si="6"/>
        <v>3470847</v>
      </c>
      <c r="AI22" s="159">
        <v>207339</v>
      </c>
      <c r="AJ22" s="161">
        <v>3267348</v>
      </c>
      <c r="AK22" s="161">
        <v>28763</v>
      </c>
      <c r="AL22" s="161">
        <v>0</v>
      </c>
      <c r="AM22" s="157">
        <f t="shared" si="7"/>
        <v>3503450</v>
      </c>
      <c r="AN22" s="159">
        <v>0</v>
      </c>
      <c r="AO22" s="161">
        <v>0</v>
      </c>
      <c r="AP22" s="161">
        <v>0</v>
      </c>
      <c r="AQ22" s="161">
        <v>0</v>
      </c>
      <c r="AR22" s="157">
        <f t="shared" si="1"/>
        <v>0</v>
      </c>
      <c r="AS22" s="159">
        <v>0</v>
      </c>
      <c r="AT22" s="161">
        <v>0</v>
      </c>
      <c r="AU22" s="161">
        <v>0</v>
      </c>
      <c r="AV22" s="161">
        <v>0</v>
      </c>
      <c r="AW22" s="157">
        <f t="shared" si="8"/>
        <v>0</v>
      </c>
      <c r="AX22" s="159">
        <v>0</v>
      </c>
      <c r="AY22" s="161">
        <v>0</v>
      </c>
      <c r="AZ22" s="161">
        <v>0</v>
      </c>
      <c r="BA22" s="161">
        <v>0</v>
      </c>
      <c r="BB22" s="157">
        <f t="shared" si="9"/>
        <v>0</v>
      </c>
      <c r="BC22" s="159">
        <v>0</v>
      </c>
      <c r="BD22" s="161">
        <v>0</v>
      </c>
      <c r="BE22" s="161">
        <v>0</v>
      </c>
      <c r="BF22" s="161">
        <v>0</v>
      </c>
      <c r="BG22" s="157">
        <f t="shared" si="10"/>
        <v>0</v>
      </c>
      <c r="BH22" s="159">
        <v>0</v>
      </c>
      <c r="BI22" s="161">
        <v>0</v>
      </c>
      <c r="BJ22" s="161">
        <v>0</v>
      </c>
      <c r="BK22" s="161">
        <v>0</v>
      </c>
      <c r="BL22" s="157">
        <f t="shared" si="11"/>
        <v>0</v>
      </c>
      <c r="BM22" s="159">
        <v>0</v>
      </c>
      <c r="BN22" s="161">
        <v>0</v>
      </c>
      <c r="BO22" s="161">
        <v>0</v>
      </c>
      <c r="BP22" s="161">
        <v>0</v>
      </c>
      <c r="BQ22" s="157">
        <f t="shared" si="12"/>
        <v>0</v>
      </c>
      <c r="BR22" s="159">
        <f t="shared" si="16"/>
        <v>879171</v>
      </c>
      <c r="BS22" s="337">
        <f t="shared" si="13"/>
        <v>23877622</v>
      </c>
      <c r="BT22" s="161">
        <f t="shared" si="13"/>
        <v>240477</v>
      </c>
      <c r="BU22" s="161">
        <f t="shared" si="13"/>
        <v>0</v>
      </c>
      <c r="BV22" s="159">
        <f t="shared" si="2"/>
        <v>24997270</v>
      </c>
      <c r="BW22" s="129"/>
      <c r="BX22" s="368">
        <f t="shared" si="15"/>
        <v>49.20147132402235</v>
      </c>
    </row>
    <row r="23" spans="1:80" x14ac:dyDescent="0.2">
      <c r="A23" s="309">
        <v>17</v>
      </c>
      <c r="B23" s="310" t="s">
        <v>240</v>
      </c>
      <c r="D23" s="312"/>
      <c r="E23" s="338">
        <v>872160</v>
      </c>
      <c r="F23" s="337">
        <v>198484136</v>
      </c>
      <c r="G23" s="337">
        <v>36326</v>
      </c>
      <c r="H23" s="337">
        <v>0</v>
      </c>
      <c r="I23" s="157">
        <f t="shared" si="0"/>
        <v>199392622</v>
      </c>
      <c r="J23" s="159">
        <v>52234</v>
      </c>
      <c r="K23" s="161">
        <v>14985759</v>
      </c>
      <c r="L23" s="161">
        <v>131</v>
      </c>
      <c r="M23" s="161">
        <v>0</v>
      </c>
      <c r="N23" s="157">
        <f t="shared" si="14"/>
        <v>15038124</v>
      </c>
      <c r="O23" s="161">
        <v>55199</v>
      </c>
      <c r="P23" s="161">
        <v>15008444</v>
      </c>
      <c r="Q23" s="161">
        <v>215</v>
      </c>
      <c r="R23" s="161">
        <v>0</v>
      </c>
      <c r="S23" s="157">
        <f t="shared" si="17"/>
        <v>15063858</v>
      </c>
      <c r="T23" s="159">
        <v>71414</v>
      </c>
      <c r="U23" s="161">
        <v>14567398</v>
      </c>
      <c r="V23" s="161">
        <v>117</v>
      </c>
      <c r="W23" s="161">
        <v>0</v>
      </c>
      <c r="X23" s="157">
        <f t="shared" si="4"/>
        <v>14638929</v>
      </c>
      <c r="Y23" s="159">
        <v>71573</v>
      </c>
      <c r="Z23" s="161">
        <v>15807991</v>
      </c>
      <c r="AA23" s="161">
        <v>328</v>
      </c>
      <c r="AB23" s="161">
        <v>0</v>
      </c>
      <c r="AC23" s="157">
        <f t="shared" si="5"/>
        <v>15879892</v>
      </c>
      <c r="AD23" s="159">
        <v>68321</v>
      </c>
      <c r="AE23" s="161">
        <v>15130117</v>
      </c>
      <c r="AF23" s="161">
        <v>241</v>
      </c>
      <c r="AG23" s="161">
        <v>0</v>
      </c>
      <c r="AH23" s="157">
        <f t="shared" si="6"/>
        <v>15198679</v>
      </c>
      <c r="AI23" s="159">
        <v>62641</v>
      </c>
      <c r="AJ23" s="161">
        <v>15194011</v>
      </c>
      <c r="AK23" s="161">
        <v>623</v>
      </c>
      <c r="AL23" s="161">
        <v>0</v>
      </c>
      <c r="AM23" s="157">
        <f t="shared" si="7"/>
        <v>15257275</v>
      </c>
      <c r="AN23" s="159">
        <v>0</v>
      </c>
      <c r="AO23" s="161">
        <v>0</v>
      </c>
      <c r="AP23" s="161">
        <v>0</v>
      </c>
      <c r="AQ23" s="161">
        <v>0</v>
      </c>
      <c r="AR23" s="157">
        <f t="shared" si="1"/>
        <v>0</v>
      </c>
      <c r="AS23" s="159">
        <v>0</v>
      </c>
      <c r="AT23" s="161">
        <v>0</v>
      </c>
      <c r="AU23" s="161">
        <v>0</v>
      </c>
      <c r="AV23" s="161">
        <v>0</v>
      </c>
      <c r="AW23" s="157">
        <f t="shared" si="8"/>
        <v>0</v>
      </c>
      <c r="AX23" s="159">
        <v>0</v>
      </c>
      <c r="AY23" s="161">
        <v>0</v>
      </c>
      <c r="AZ23" s="161">
        <v>0</v>
      </c>
      <c r="BA23" s="161">
        <v>0</v>
      </c>
      <c r="BB23" s="157">
        <f t="shared" si="9"/>
        <v>0</v>
      </c>
      <c r="BC23" s="159">
        <v>0</v>
      </c>
      <c r="BD23" s="161">
        <v>0</v>
      </c>
      <c r="BE23" s="161">
        <v>0</v>
      </c>
      <c r="BF23" s="161">
        <v>0</v>
      </c>
      <c r="BG23" s="157">
        <f t="shared" si="10"/>
        <v>0</v>
      </c>
      <c r="BH23" s="159">
        <v>0</v>
      </c>
      <c r="BI23" s="161">
        <v>0</v>
      </c>
      <c r="BJ23" s="161">
        <v>0</v>
      </c>
      <c r="BK23" s="161">
        <v>0</v>
      </c>
      <c r="BL23" s="157">
        <f t="shared" si="11"/>
        <v>0</v>
      </c>
      <c r="BM23" s="159">
        <v>0</v>
      </c>
      <c r="BN23" s="161">
        <v>0</v>
      </c>
      <c r="BO23" s="161">
        <v>0</v>
      </c>
      <c r="BP23" s="161">
        <v>0</v>
      </c>
      <c r="BQ23" s="157">
        <f t="shared" si="12"/>
        <v>0</v>
      </c>
      <c r="BR23" s="159">
        <f t="shared" si="16"/>
        <v>381382</v>
      </c>
      <c r="BS23" s="337">
        <f t="shared" si="13"/>
        <v>90693720</v>
      </c>
      <c r="BT23" s="161">
        <f t="shared" si="13"/>
        <v>1655</v>
      </c>
      <c r="BU23" s="161">
        <f t="shared" si="13"/>
        <v>0</v>
      </c>
      <c r="BV23" s="159">
        <f t="shared" si="2"/>
        <v>91076757</v>
      </c>
      <c r="BW23" s="129"/>
      <c r="BX23" s="368">
        <f t="shared" si="15"/>
        <v>45.677094812465022</v>
      </c>
    </row>
    <row r="24" spans="1:80" x14ac:dyDescent="0.2">
      <c r="A24" s="303">
        <v>18</v>
      </c>
      <c r="B24" s="304" t="s">
        <v>243</v>
      </c>
      <c r="D24" s="305"/>
      <c r="E24" s="338">
        <v>23785315</v>
      </c>
      <c r="F24" s="337">
        <v>877954</v>
      </c>
      <c r="G24" s="337">
        <v>513617</v>
      </c>
      <c r="H24" s="337">
        <v>8072</v>
      </c>
      <c r="I24" s="157">
        <f t="shared" si="0"/>
        <v>25184958</v>
      </c>
      <c r="J24" s="159">
        <v>1539111</v>
      </c>
      <c r="K24" s="161">
        <v>44796</v>
      </c>
      <c r="L24" s="161">
        <v>31904</v>
      </c>
      <c r="M24" s="161">
        <v>599</v>
      </c>
      <c r="N24" s="157">
        <f t="shared" si="14"/>
        <v>1616410</v>
      </c>
      <c r="O24" s="161">
        <v>1840776</v>
      </c>
      <c r="P24" s="161">
        <v>49396</v>
      </c>
      <c r="Q24" s="161">
        <v>4802</v>
      </c>
      <c r="R24" s="161">
        <v>0</v>
      </c>
      <c r="S24" s="157">
        <f t="shared" si="17"/>
        <v>1894974</v>
      </c>
      <c r="T24" s="159">
        <v>1748453</v>
      </c>
      <c r="U24" s="161">
        <v>9065</v>
      </c>
      <c r="V24" s="161">
        <v>14344</v>
      </c>
      <c r="W24" s="161">
        <v>-599</v>
      </c>
      <c r="X24" s="157">
        <f t="shared" si="4"/>
        <v>1771263</v>
      </c>
      <c r="Y24" s="159">
        <v>1738280</v>
      </c>
      <c r="Z24" s="161">
        <v>52855</v>
      </c>
      <c r="AA24" s="161">
        <v>7422</v>
      </c>
      <c r="AB24" s="161">
        <v>0</v>
      </c>
      <c r="AC24" s="157">
        <f t="shared" si="5"/>
        <v>1798557</v>
      </c>
      <c r="AD24" s="159">
        <v>1929944</v>
      </c>
      <c r="AE24" s="161">
        <v>86830</v>
      </c>
      <c r="AF24" s="161">
        <v>22188</v>
      </c>
      <c r="AG24" s="161">
        <v>0</v>
      </c>
      <c r="AH24" s="157">
        <f t="shared" si="6"/>
        <v>2038962</v>
      </c>
      <c r="AI24" s="159">
        <v>2156686</v>
      </c>
      <c r="AJ24" s="161">
        <v>46091</v>
      </c>
      <c r="AK24" s="161">
        <v>61013</v>
      </c>
      <c r="AL24" s="161">
        <v>0</v>
      </c>
      <c r="AM24" s="157">
        <f t="shared" si="7"/>
        <v>2263790</v>
      </c>
      <c r="AN24" s="159">
        <v>0</v>
      </c>
      <c r="AO24" s="161">
        <v>0</v>
      </c>
      <c r="AP24" s="161">
        <v>0</v>
      </c>
      <c r="AQ24" s="161">
        <v>0</v>
      </c>
      <c r="AR24" s="157">
        <f t="shared" si="1"/>
        <v>0</v>
      </c>
      <c r="AS24" s="159">
        <v>0</v>
      </c>
      <c r="AT24" s="161">
        <v>0</v>
      </c>
      <c r="AU24" s="161">
        <v>0</v>
      </c>
      <c r="AV24" s="161">
        <v>0</v>
      </c>
      <c r="AW24" s="157">
        <f t="shared" si="8"/>
        <v>0</v>
      </c>
      <c r="AX24" s="159">
        <v>0</v>
      </c>
      <c r="AY24" s="161">
        <v>0</v>
      </c>
      <c r="AZ24" s="161">
        <v>0</v>
      </c>
      <c r="BA24" s="161">
        <v>0</v>
      </c>
      <c r="BB24" s="157">
        <f t="shared" si="9"/>
        <v>0</v>
      </c>
      <c r="BC24" s="159">
        <v>0</v>
      </c>
      <c r="BD24" s="161">
        <v>0</v>
      </c>
      <c r="BE24" s="161">
        <v>0</v>
      </c>
      <c r="BF24" s="161">
        <v>0</v>
      </c>
      <c r="BG24" s="157">
        <f t="shared" si="10"/>
        <v>0</v>
      </c>
      <c r="BH24" s="159">
        <v>0</v>
      </c>
      <c r="BI24" s="161">
        <v>0</v>
      </c>
      <c r="BJ24" s="161">
        <v>0</v>
      </c>
      <c r="BK24" s="161">
        <v>0</v>
      </c>
      <c r="BL24" s="157">
        <f t="shared" si="11"/>
        <v>0</v>
      </c>
      <c r="BM24" s="159">
        <v>0</v>
      </c>
      <c r="BN24" s="161">
        <v>0</v>
      </c>
      <c r="BO24" s="161">
        <v>0</v>
      </c>
      <c r="BP24" s="161">
        <v>0</v>
      </c>
      <c r="BQ24" s="157">
        <f>SUM(BM24:BP24)</f>
        <v>0</v>
      </c>
      <c r="BR24" s="159">
        <f t="shared" si="16"/>
        <v>10953250</v>
      </c>
      <c r="BS24" s="337">
        <f t="shared" si="16"/>
        <v>289033</v>
      </c>
      <c r="BT24" s="161">
        <f t="shared" si="16"/>
        <v>141673</v>
      </c>
      <c r="BU24" s="161">
        <f t="shared" si="16"/>
        <v>0</v>
      </c>
      <c r="BV24" s="159">
        <f t="shared" si="2"/>
        <v>11383956</v>
      </c>
      <c r="BW24" s="129"/>
      <c r="BX24" s="368">
        <f>(BV24/I24)*100</f>
        <v>45.201409508008709</v>
      </c>
    </row>
    <row r="25" spans="1:80" x14ac:dyDescent="0.2">
      <c r="A25" s="303">
        <v>19</v>
      </c>
      <c r="B25" s="304" t="s">
        <v>302</v>
      </c>
      <c r="D25" s="313"/>
      <c r="E25" s="338">
        <v>42786164</v>
      </c>
      <c r="F25" s="337">
        <v>6661243</v>
      </c>
      <c r="G25" s="337">
        <v>1417557</v>
      </c>
      <c r="H25" s="337">
        <v>0</v>
      </c>
      <c r="I25" s="157">
        <f t="shared" si="0"/>
        <v>50864964</v>
      </c>
      <c r="J25" s="159">
        <v>2735310</v>
      </c>
      <c r="K25" s="161">
        <v>342471</v>
      </c>
      <c r="L25" s="161">
        <v>43383</v>
      </c>
      <c r="M25" s="161">
        <v>0</v>
      </c>
      <c r="N25" s="157">
        <f t="shared" si="14"/>
        <v>3121164</v>
      </c>
      <c r="O25" s="161">
        <v>3565541</v>
      </c>
      <c r="P25" s="161">
        <v>831702</v>
      </c>
      <c r="Q25" s="161">
        <v>149417</v>
      </c>
      <c r="R25" s="161">
        <v>0</v>
      </c>
      <c r="S25" s="157">
        <f t="shared" si="17"/>
        <v>4546660</v>
      </c>
      <c r="T25" s="159">
        <v>3527797</v>
      </c>
      <c r="U25" s="161">
        <v>495850</v>
      </c>
      <c r="V25" s="161">
        <v>21837</v>
      </c>
      <c r="W25" s="161">
        <v>0</v>
      </c>
      <c r="X25" s="157">
        <f t="shared" si="4"/>
        <v>4045484</v>
      </c>
      <c r="Y25" s="159">
        <v>3692128</v>
      </c>
      <c r="Z25" s="161">
        <v>781446</v>
      </c>
      <c r="AA25" s="161">
        <v>48763</v>
      </c>
      <c r="AB25" s="161">
        <v>0</v>
      </c>
      <c r="AC25" s="157">
        <f t="shared" si="5"/>
        <v>4522337</v>
      </c>
      <c r="AD25" s="159">
        <v>3549026</v>
      </c>
      <c r="AE25" s="161">
        <v>454941</v>
      </c>
      <c r="AF25" s="161">
        <v>84076</v>
      </c>
      <c r="AG25" s="161">
        <v>0</v>
      </c>
      <c r="AH25" s="157">
        <f t="shared" si="6"/>
        <v>4088043</v>
      </c>
      <c r="AI25" s="159">
        <v>3337918</v>
      </c>
      <c r="AJ25" s="161">
        <v>485673</v>
      </c>
      <c r="AK25" s="161">
        <v>126998</v>
      </c>
      <c r="AL25" s="161">
        <v>0</v>
      </c>
      <c r="AM25" s="157">
        <f t="shared" si="7"/>
        <v>3950589</v>
      </c>
      <c r="AN25" s="159">
        <v>0</v>
      </c>
      <c r="AO25" s="161">
        <v>0</v>
      </c>
      <c r="AP25" s="161">
        <v>0</v>
      </c>
      <c r="AQ25" s="161">
        <v>0</v>
      </c>
      <c r="AR25" s="157">
        <f t="shared" si="1"/>
        <v>0</v>
      </c>
      <c r="AS25" s="159">
        <v>0</v>
      </c>
      <c r="AT25" s="161">
        <v>0</v>
      </c>
      <c r="AU25" s="161">
        <v>0</v>
      </c>
      <c r="AV25" s="161">
        <v>0</v>
      </c>
      <c r="AW25" s="157">
        <f t="shared" si="8"/>
        <v>0</v>
      </c>
      <c r="AX25" s="159">
        <v>0</v>
      </c>
      <c r="AY25" s="161">
        <v>0</v>
      </c>
      <c r="AZ25" s="161">
        <v>0</v>
      </c>
      <c r="BA25" s="161">
        <v>0</v>
      </c>
      <c r="BB25" s="157">
        <f t="shared" si="9"/>
        <v>0</v>
      </c>
      <c r="BC25" s="159">
        <v>0</v>
      </c>
      <c r="BD25" s="161">
        <v>0</v>
      </c>
      <c r="BE25" s="161">
        <v>0</v>
      </c>
      <c r="BF25" s="161">
        <v>0</v>
      </c>
      <c r="BG25" s="157">
        <f t="shared" si="10"/>
        <v>0</v>
      </c>
      <c r="BH25" s="159">
        <v>0</v>
      </c>
      <c r="BI25" s="161">
        <v>0</v>
      </c>
      <c r="BJ25" s="161">
        <v>0</v>
      </c>
      <c r="BK25" s="161">
        <v>0</v>
      </c>
      <c r="BL25" s="157">
        <f t="shared" si="11"/>
        <v>0</v>
      </c>
      <c r="BM25" s="159">
        <v>0</v>
      </c>
      <c r="BN25" s="161">
        <v>0</v>
      </c>
      <c r="BO25" s="161">
        <v>0</v>
      </c>
      <c r="BP25" s="161">
        <v>0</v>
      </c>
      <c r="BQ25" s="157">
        <f t="shared" si="12"/>
        <v>0</v>
      </c>
      <c r="BR25" s="159">
        <f t="shared" si="16"/>
        <v>20407720</v>
      </c>
      <c r="BS25" s="337">
        <f t="shared" si="16"/>
        <v>3392083</v>
      </c>
      <c r="BT25" s="161">
        <f t="shared" si="16"/>
        <v>474474</v>
      </c>
      <c r="BU25" s="161">
        <f t="shared" si="16"/>
        <v>0</v>
      </c>
      <c r="BV25" s="159">
        <f t="shared" si="2"/>
        <v>24274277</v>
      </c>
      <c r="BW25" s="129"/>
      <c r="BX25" s="368">
        <f t="shared" si="15"/>
        <v>47.722980792830214</v>
      </c>
    </row>
    <row r="26" spans="1:80" x14ac:dyDescent="0.2">
      <c r="A26" s="303">
        <v>20</v>
      </c>
      <c r="B26" s="304" t="s">
        <v>245</v>
      </c>
      <c r="D26" s="305"/>
      <c r="E26" s="338">
        <v>332581</v>
      </c>
      <c r="F26" s="337">
        <v>1670</v>
      </c>
      <c r="G26" s="337">
        <v>2356</v>
      </c>
      <c r="H26" s="337">
        <v>0</v>
      </c>
      <c r="I26" s="157">
        <f t="shared" si="0"/>
        <v>336607</v>
      </c>
      <c r="J26" s="159">
        <v>24834</v>
      </c>
      <c r="K26" s="161">
        <v>35</v>
      </c>
      <c r="L26" s="161">
        <v>24</v>
      </c>
      <c r="M26" s="161">
        <v>0</v>
      </c>
      <c r="N26" s="157">
        <f t="shared" si="14"/>
        <v>24893</v>
      </c>
      <c r="O26" s="161">
        <v>21484</v>
      </c>
      <c r="P26" s="161">
        <v>49</v>
      </c>
      <c r="Q26" s="161">
        <v>6</v>
      </c>
      <c r="R26" s="161">
        <v>0</v>
      </c>
      <c r="S26" s="157">
        <f t="shared" si="17"/>
        <v>21539</v>
      </c>
      <c r="T26" s="159">
        <v>21968</v>
      </c>
      <c r="U26" s="161">
        <v>1</v>
      </c>
      <c r="V26" s="161">
        <v>0</v>
      </c>
      <c r="W26" s="161">
        <v>0</v>
      </c>
      <c r="X26" s="157">
        <f t="shared" si="4"/>
        <v>21969</v>
      </c>
      <c r="Y26" s="159">
        <v>22983</v>
      </c>
      <c r="Z26" s="161">
        <v>162</v>
      </c>
      <c r="AA26" s="161">
        <v>0</v>
      </c>
      <c r="AB26" s="161">
        <v>0</v>
      </c>
      <c r="AC26" s="157">
        <f t="shared" si="5"/>
        <v>23145</v>
      </c>
      <c r="AD26" s="159">
        <v>24384</v>
      </c>
      <c r="AE26" s="161">
        <v>788</v>
      </c>
      <c r="AF26" s="161">
        <v>795</v>
      </c>
      <c r="AG26" s="161">
        <v>0</v>
      </c>
      <c r="AH26" s="157">
        <f t="shared" si="6"/>
        <v>25967</v>
      </c>
      <c r="AI26" s="159">
        <v>26851</v>
      </c>
      <c r="AJ26" s="161">
        <v>28</v>
      </c>
      <c r="AK26" s="161">
        <v>672</v>
      </c>
      <c r="AL26" s="161">
        <v>0</v>
      </c>
      <c r="AM26" s="157">
        <f t="shared" si="7"/>
        <v>27551</v>
      </c>
      <c r="AN26" s="159">
        <v>0</v>
      </c>
      <c r="AO26" s="161">
        <v>0</v>
      </c>
      <c r="AP26" s="161">
        <v>0</v>
      </c>
      <c r="AQ26" s="161">
        <v>0</v>
      </c>
      <c r="AR26" s="157">
        <f t="shared" si="1"/>
        <v>0</v>
      </c>
      <c r="AS26" s="159">
        <v>0</v>
      </c>
      <c r="AT26" s="161">
        <v>0</v>
      </c>
      <c r="AU26" s="161">
        <v>0</v>
      </c>
      <c r="AV26" s="161">
        <v>0</v>
      </c>
      <c r="AW26" s="157">
        <f t="shared" si="8"/>
        <v>0</v>
      </c>
      <c r="AX26" s="159">
        <v>0</v>
      </c>
      <c r="AY26" s="161">
        <v>0</v>
      </c>
      <c r="AZ26" s="161">
        <v>0</v>
      </c>
      <c r="BA26" s="161">
        <v>0</v>
      </c>
      <c r="BB26" s="157">
        <f t="shared" si="9"/>
        <v>0</v>
      </c>
      <c r="BC26" s="159">
        <v>0</v>
      </c>
      <c r="BD26" s="161">
        <v>0</v>
      </c>
      <c r="BE26" s="161">
        <v>0</v>
      </c>
      <c r="BF26" s="161">
        <v>0</v>
      </c>
      <c r="BG26" s="157">
        <f t="shared" si="10"/>
        <v>0</v>
      </c>
      <c r="BH26" s="159">
        <v>0</v>
      </c>
      <c r="BI26" s="161">
        <v>0</v>
      </c>
      <c r="BJ26" s="161">
        <v>0</v>
      </c>
      <c r="BK26" s="161">
        <v>0</v>
      </c>
      <c r="BL26" s="157">
        <f t="shared" si="11"/>
        <v>0</v>
      </c>
      <c r="BM26" s="159">
        <v>0</v>
      </c>
      <c r="BN26" s="161">
        <v>0</v>
      </c>
      <c r="BO26" s="161">
        <v>0</v>
      </c>
      <c r="BP26" s="161">
        <v>0</v>
      </c>
      <c r="BQ26" s="157">
        <f t="shared" si="12"/>
        <v>0</v>
      </c>
      <c r="BR26" s="159">
        <f t="shared" si="16"/>
        <v>142504</v>
      </c>
      <c r="BS26" s="337">
        <f t="shared" si="16"/>
        <v>1063</v>
      </c>
      <c r="BT26" s="161">
        <f t="shared" si="16"/>
        <v>1497</v>
      </c>
      <c r="BU26" s="161">
        <f t="shared" si="16"/>
        <v>0</v>
      </c>
      <c r="BV26" s="159">
        <f t="shared" si="2"/>
        <v>145064</v>
      </c>
      <c r="BW26" s="129"/>
      <c r="BX26" s="368">
        <f t="shared" si="15"/>
        <v>43.095954629582863</v>
      </c>
    </row>
    <row r="27" spans="1:80" x14ac:dyDescent="0.2">
      <c r="A27" s="303">
        <v>21</v>
      </c>
      <c r="B27" s="304" t="s">
        <v>246</v>
      </c>
      <c r="D27" s="305"/>
      <c r="E27" s="338">
        <v>14547112</v>
      </c>
      <c r="F27" s="337">
        <v>2969362</v>
      </c>
      <c r="G27" s="337">
        <v>575394</v>
      </c>
      <c r="H27" s="337">
        <v>10492</v>
      </c>
      <c r="I27" s="157">
        <f t="shared" si="0"/>
        <v>18102360</v>
      </c>
      <c r="J27" s="159">
        <v>1047609</v>
      </c>
      <c r="K27" s="161">
        <v>246807</v>
      </c>
      <c r="L27" s="161">
        <v>58943</v>
      </c>
      <c r="M27" s="161">
        <v>20</v>
      </c>
      <c r="N27" s="157">
        <f t="shared" si="14"/>
        <v>1353379</v>
      </c>
      <c r="O27" s="161">
        <v>987834</v>
      </c>
      <c r="P27" s="161">
        <v>235842</v>
      </c>
      <c r="Q27" s="161">
        <v>17899</v>
      </c>
      <c r="R27" s="161">
        <v>0</v>
      </c>
      <c r="S27" s="157">
        <f t="shared" si="17"/>
        <v>1241575</v>
      </c>
      <c r="T27" s="159">
        <v>1108319</v>
      </c>
      <c r="U27" s="161">
        <v>238627</v>
      </c>
      <c r="V27" s="161">
        <v>31655</v>
      </c>
      <c r="W27" s="161">
        <v>282</v>
      </c>
      <c r="X27" s="157">
        <f t="shared" si="4"/>
        <v>1378883</v>
      </c>
      <c r="Y27" s="159">
        <v>1227956</v>
      </c>
      <c r="Z27" s="161">
        <v>264202</v>
      </c>
      <c r="AA27" s="161">
        <v>27987</v>
      </c>
      <c r="AB27" s="161">
        <v>-203</v>
      </c>
      <c r="AC27" s="157">
        <f t="shared" si="5"/>
        <v>1519942</v>
      </c>
      <c r="AD27" s="159">
        <v>1026461</v>
      </c>
      <c r="AE27" s="161">
        <v>245846</v>
      </c>
      <c r="AF27" s="161">
        <v>50761</v>
      </c>
      <c r="AG27" s="161">
        <v>109</v>
      </c>
      <c r="AH27" s="157">
        <f t="shared" si="6"/>
        <v>1323177</v>
      </c>
      <c r="AI27" s="159">
        <v>1249034</v>
      </c>
      <c r="AJ27" s="161">
        <v>244693</v>
      </c>
      <c r="AK27" s="161">
        <v>37295</v>
      </c>
      <c r="AL27" s="161">
        <v>892</v>
      </c>
      <c r="AM27" s="157">
        <f t="shared" si="7"/>
        <v>1531914</v>
      </c>
      <c r="AN27" s="159">
        <v>0</v>
      </c>
      <c r="AO27" s="161">
        <v>0</v>
      </c>
      <c r="AP27" s="161">
        <v>0</v>
      </c>
      <c r="AQ27" s="161">
        <v>0</v>
      </c>
      <c r="AR27" s="157">
        <f t="shared" si="1"/>
        <v>0</v>
      </c>
      <c r="AS27" s="159">
        <v>0</v>
      </c>
      <c r="AT27" s="161">
        <v>0</v>
      </c>
      <c r="AU27" s="161">
        <v>0</v>
      </c>
      <c r="AV27" s="161">
        <v>0</v>
      </c>
      <c r="AW27" s="157">
        <f t="shared" si="8"/>
        <v>0</v>
      </c>
      <c r="AX27" s="159">
        <v>0</v>
      </c>
      <c r="AY27" s="161">
        <v>0</v>
      </c>
      <c r="AZ27" s="161">
        <v>0</v>
      </c>
      <c r="BA27" s="161">
        <v>0</v>
      </c>
      <c r="BB27" s="157">
        <f t="shared" si="9"/>
        <v>0</v>
      </c>
      <c r="BC27" s="159">
        <v>0</v>
      </c>
      <c r="BD27" s="161">
        <v>0</v>
      </c>
      <c r="BE27" s="161">
        <v>0</v>
      </c>
      <c r="BF27" s="161">
        <v>0</v>
      </c>
      <c r="BG27" s="157">
        <f t="shared" si="10"/>
        <v>0</v>
      </c>
      <c r="BH27" s="159">
        <v>0</v>
      </c>
      <c r="BI27" s="161">
        <v>0</v>
      </c>
      <c r="BJ27" s="161">
        <v>0</v>
      </c>
      <c r="BK27" s="161">
        <v>0</v>
      </c>
      <c r="BL27" s="157">
        <f t="shared" si="11"/>
        <v>0</v>
      </c>
      <c r="BM27" s="159">
        <v>0</v>
      </c>
      <c r="BN27" s="161">
        <v>0</v>
      </c>
      <c r="BO27" s="161">
        <v>0</v>
      </c>
      <c r="BP27" s="161">
        <v>0</v>
      </c>
      <c r="BQ27" s="157">
        <f t="shared" si="12"/>
        <v>0</v>
      </c>
      <c r="BR27" s="159">
        <f t="shared" si="16"/>
        <v>6647213</v>
      </c>
      <c r="BS27" s="337">
        <f t="shared" si="16"/>
        <v>1476017</v>
      </c>
      <c r="BT27" s="161">
        <f t="shared" si="16"/>
        <v>224540</v>
      </c>
      <c r="BU27" s="161">
        <f t="shared" si="16"/>
        <v>1100</v>
      </c>
      <c r="BV27" s="159">
        <f t="shared" si="2"/>
        <v>8348870</v>
      </c>
      <c r="BW27" s="129"/>
      <c r="BX27" s="368">
        <f t="shared" si="15"/>
        <v>46.120340110350256</v>
      </c>
    </row>
    <row r="28" spans="1:80" x14ac:dyDescent="0.2">
      <c r="A28" s="303">
        <v>22</v>
      </c>
      <c r="B28" s="281" t="s">
        <v>303</v>
      </c>
      <c r="D28" s="305"/>
      <c r="E28" s="338">
        <v>1018265</v>
      </c>
      <c r="F28" s="337">
        <v>3265</v>
      </c>
      <c r="G28" s="337">
        <v>112287</v>
      </c>
      <c r="H28" s="337">
        <v>24</v>
      </c>
      <c r="I28" s="157">
        <f t="shared" si="0"/>
        <v>1133841</v>
      </c>
      <c r="J28" s="159">
        <v>68601</v>
      </c>
      <c r="K28" s="161">
        <v>302</v>
      </c>
      <c r="L28" s="161">
        <v>934</v>
      </c>
      <c r="M28" s="161">
        <v>0</v>
      </c>
      <c r="N28" s="157">
        <f t="shared" si="14"/>
        <v>69837</v>
      </c>
      <c r="O28" s="161">
        <v>73422</v>
      </c>
      <c r="P28" s="161">
        <v>38</v>
      </c>
      <c r="Q28" s="161">
        <v>623</v>
      </c>
      <c r="R28" s="161">
        <v>24</v>
      </c>
      <c r="S28" s="157">
        <f>SUM(O28:R28)</f>
        <v>74107</v>
      </c>
      <c r="T28" s="159">
        <v>79779</v>
      </c>
      <c r="U28" s="161">
        <v>44</v>
      </c>
      <c r="V28" s="161">
        <v>2601</v>
      </c>
      <c r="W28" s="161">
        <v>0</v>
      </c>
      <c r="X28" s="157">
        <f t="shared" si="4"/>
        <v>82424</v>
      </c>
      <c r="Y28" s="159">
        <v>82810</v>
      </c>
      <c r="Z28" s="161">
        <v>1478</v>
      </c>
      <c r="AA28" s="161">
        <v>5692</v>
      </c>
      <c r="AB28" s="161">
        <v>0</v>
      </c>
      <c r="AC28" s="157">
        <f t="shared" si="5"/>
        <v>89980</v>
      </c>
      <c r="AD28" s="159">
        <v>92608</v>
      </c>
      <c r="AE28" s="161">
        <v>-295</v>
      </c>
      <c r="AF28" s="161">
        <v>19853</v>
      </c>
      <c r="AG28" s="161">
        <v>0</v>
      </c>
      <c r="AH28" s="157">
        <f t="shared" si="6"/>
        <v>112166</v>
      </c>
      <c r="AI28" s="159">
        <v>82339</v>
      </c>
      <c r="AJ28" s="161">
        <v>48</v>
      </c>
      <c r="AK28" s="161">
        <v>6178</v>
      </c>
      <c r="AL28" s="161">
        <v>0</v>
      </c>
      <c r="AM28" s="157">
        <f t="shared" si="7"/>
        <v>88565</v>
      </c>
      <c r="AN28" s="159">
        <v>0</v>
      </c>
      <c r="AO28" s="161">
        <v>0</v>
      </c>
      <c r="AP28" s="161">
        <v>0</v>
      </c>
      <c r="AQ28" s="161">
        <v>0</v>
      </c>
      <c r="AR28" s="157">
        <f t="shared" si="1"/>
        <v>0</v>
      </c>
      <c r="AS28" s="159">
        <v>0</v>
      </c>
      <c r="AT28" s="161">
        <v>0</v>
      </c>
      <c r="AU28" s="161">
        <v>0</v>
      </c>
      <c r="AV28" s="161">
        <v>0</v>
      </c>
      <c r="AW28" s="157">
        <f t="shared" si="8"/>
        <v>0</v>
      </c>
      <c r="AX28" s="159">
        <v>0</v>
      </c>
      <c r="AY28" s="161">
        <v>0</v>
      </c>
      <c r="AZ28" s="161">
        <v>0</v>
      </c>
      <c r="BA28" s="161">
        <v>0</v>
      </c>
      <c r="BB28" s="157">
        <f t="shared" si="9"/>
        <v>0</v>
      </c>
      <c r="BC28" s="159">
        <v>0</v>
      </c>
      <c r="BD28" s="161">
        <v>0</v>
      </c>
      <c r="BE28" s="161">
        <v>0</v>
      </c>
      <c r="BF28" s="161">
        <v>0</v>
      </c>
      <c r="BG28" s="157">
        <f t="shared" si="10"/>
        <v>0</v>
      </c>
      <c r="BH28" s="159">
        <v>0</v>
      </c>
      <c r="BI28" s="161">
        <v>0</v>
      </c>
      <c r="BJ28" s="161">
        <v>0</v>
      </c>
      <c r="BK28" s="161">
        <v>0</v>
      </c>
      <c r="BL28" s="157">
        <f t="shared" si="11"/>
        <v>0</v>
      </c>
      <c r="BM28" s="159">
        <v>0</v>
      </c>
      <c r="BN28" s="161">
        <v>0</v>
      </c>
      <c r="BO28" s="161">
        <v>0</v>
      </c>
      <c r="BP28" s="161">
        <v>0</v>
      </c>
      <c r="BQ28" s="157">
        <f t="shared" si="12"/>
        <v>0</v>
      </c>
      <c r="BR28" s="159">
        <f t="shared" si="16"/>
        <v>479559</v>
      </c>
      <c r="BS28" s="337">
        <f t="shared" si="16"/>
        <v>1615</v>
      </c>
      <c r="BT28" s="161">
        <f t="shared" si="16"/>
        <v>35881</v>
      </c>
      <c r="BU28" s="161">
        <f t="shared" si="16"/>
        <v>24</v>
      </c>
      <c r="BV28" s="159">
        <f t="shared" si="2"/>
        <v>517079</v>
      </c>
      <c r="BW28" s="129"/>
      <c r="BX28" s="368">
        <f t="shared" si="15"/>
        <v>45.604189652693812</v>
      </c>
    </row>
    <row r="29" spans="1:80" x14ac:dyDescent="0.2">
      <c r="A29" s="303">
        <v>23</v>
      </c>
      <c r="B29" s="304" t="s">
        <v>249</v>
      </c>
      <c r="D29" s="305"/>
      <c r="E29" s="338">
        <v>92195281</v>
      </c>
      <c r="F29" s="337">
        <v>1409781</v>
      </c>
      <c r="G29" s="337">
        <v>2477432</v>
      </c>
      <c r="H29" s="337">
        <v>32307</v>
      </c>
      <c r="I29" s="157">
        <f t="shared" si="0"/>
        <v>96114801</v>
      </c>
      <c r="J29" s="159">
        <v>7584822</v>
      </c>
      <c r="K29" s="161">
        <v>126582</v>
      </c>
      <c r="L29" s="161">
        <v>77961</v>
      </c>
      <c r="M29" s="161">
        <v>833</v>
      </c>
      <c r="N29" s="157">
        <f t="shared" si="14"/>
        <v>7790198</v>
      </c>
      <c r="O29" s="161">
        <v>7378437</v>
      </c>
      <c r="P29" s="161">
        <v>109950</v>
      </c>
      <c r="Q29" s="161">
        <v>62539</v>
      </c>
      <c r="R29" s="161">
        <v>1248</v>
      </c>
      <c r="S29" s="157">
        <f>SUM(O29:R29)</f>
        <v>7552174</v>
      </c>
      <c r="T29" s="159">
        <v>7722221</v>
      </c>
      <c r="U29" s="161">
        <v>75464</v>
      </c>
      <c r="V29" s="161">
        <v>165924</v>
      </c>
      <c r="W29" s="161">
        <v>154</v>
      </c>
      <c r="X29" s="159">
        <f t="shared" si="4"/>
        <v>7963763</v>
      </c>
      <c r="Y29" s="159">
        <v>7886220</v>
      </c>
      <c r="Z29" s="161">
        <v>148077</v>
      </c>
      <c r="AA29" s="161">
        <v>163921</v>
      </c>
      <c r="AB29" s="161">
        <v>1732</v>
      </c>
      <c r="AC29" s="157">
        <f t="shared" si="5"/>
        <v>8199950</v>
      </c>
      <c r="AD29" s="159">
        <v>7276739</v>
      </c>
      <c r="AE29" s="161">
        <v>105180</v>
      </c>
      <c r="AF29" s="161">
        <v>125595</v>
      </c>
      <c r="AG29" s="161">
        <v>881</v>
      </c>
      <c r="AH29" s="157">
        <f t="shared" si="6"/>
        <v>7508395</v>
      </c>
      <c r="AI29" s="159">
        <v>7181134</v>
      </c>
      <c r="AJ29" s="161">
        <v>102595</v>
      </c>
      <c r="AK29" s="161">
        <v>97674</v>
      </c>
      <c r="AL29" s="161">
        <v>534</v>
      </c>
      <c r="AM29" s="157">
        <f t="shared" si="7"/>
        <v>7381937</v>
      </c>
      <c r="AN29" s="159">
        <v>0</v>
      </c>
      <c r="AO29" s="161">
        <v>0</v>
      </c>
      <c r="AP29" s="161">
        <v>0</v>
      </c>
      <c r="AQ29" s="161">
        <v>0</v>
      </c>
      <c r="AR29" s="157">
        <f t="shared" si="1"/>
        <v>0</v>
      </c>
      <c r="AS29" s="159">
        <v>0</v>
      </c>
      <c r="AT29" s="161">
        <v>0</v>
      </c>
      <c r="AU29" s="161">
        <v>0</v>
      </c>
      <c r="AV29" s="161">
        <v>0</v>
      </c>
      <c r="AW29" s="157">
        <f t="shared" si="8"/>
        <v>0</v>
      </c>
      <c r="AX29" s="159">
        <v>0</v>
      </c>
      <c r="AY29" s="161">
        <v>0</v>
      </c>
      <c r="AZ29" s="161">
        <v>0</v>
      </c>
      <c r="BA29" s="161">
        <v>0</v>
      </c>
      <c r="BB29" s="157">
        <f t="shared" si="9"/>
        <v>0</v>
      </c>
      <c r="BC29" s="159">
        <v>0</v>
      </c>
      <c r="BD29" s="161">
        <v>0</v>
      </c>
      <c r="BE29" s="161">
        <v>0</v>
      </c>
      <c r="BF29" s="161">
        <v>0</v>
      </c>
      <c r="BG29" s="157">
        <f t="shared" si="10"/>
        <v>0</v>
      </c>
      <c r="BH29" s="159">
        <v>0</v>
      </c>
      <c r="BI29" s="161">
        <v>0</v>
      </c>
      <c r="BJ29" s="161">
        <v>0</v>
      </c>
      <c r="BK29" s="161">
        <v>0</v>
      </c>
      <c r="BL29" s="157">
        <f t="shared" si="11"/>
        <v>0</v>
      </c>
      <c r="BM29" s="159">
        <v>0</v>
      </c>
      <c r="BN29" s="161">
        <v>0</v>
      </c>
      <c r="BO29" s="161">
        <v>0</v>
      </c>
      <c r="BP29" s="161">
        <v>0</v>
      </c>
      <c r="BQ29" s="157">
        <f t="shared" si="12"/>
        <v>0</v>
      </c>
      <c r="BR29" s="159">
        <f t="shared" si="16"/>
        <v>45029573</v>
      </c>
      <c r="BS29" s="337">
        <f t="shared" si="16"/>
        <v>667848</v>
      </c>
      <c r="BT29" s="161">
        <f t="shared" si="16"/>
        <v>693614</v>
      </c>
      <c r="BU29" s="161">
        <f t="shared" si="16"/>
        <v>5382</v>
      </c>
      <c r="BV29" s="159">
        <f t="shared" si="2"/>
        <v>46396417</v>
      </c>
      <c r="BW29" s="129"/>
      <c r="BX29" s="368">
        <f t="shared" si="15"/>
        <v>48.271875421143513</v>
      </c>
    </row>
    <row r="30" spans="1:80" x14ac:dyDescent="0.2">
      <c r="A30" s="303">
        <v>24</v>
      </c>
      <c r="B30" s="304" t="s">
        <v>304</v>
      </c>
      <c r="D30" s="305"/>
      <c r="E30" s="338">
        <v>3052359</v>
      </c>
      <c r="F30" s="337">
        <v>4185491</v>
      </c>
      <c r="G30" s="337">
        <v>202307</v>
      </c>
      <c r="H30" s="337">
        <v>2831</v>
      </c>
      <c r="I30" s="157">
        <f t="shared" si="0"/>
        <v>7442988</v>
      </c>
      <c r="J30" s="159">
        <v>309658</v>
      </c>
      <c r="K30" s="161">
        <v>549654</v>
      </c>
      <c r="L30" s="161">
        <v>8219</v>
      </c>
      <c r="M30" s="161">
        <v>0</v>
      </c>
      <c r="N30" s="157">
        <f t="shared" si="14"/>
        <v>867531</v>
      </c>
      <c r="O30" s="161">
        <v>270415</v>
      </c>
      <c r="P30" s="161">
        <v>369038</v>
      </c>
      <c r="Q30" s="161">
        <v>20066</v>
      </c>
      <c r="R30" s="161">
        <v>17</v>
      </c>
      <c r="S30" s="157">
        <f>SUM(O30:R30)</f>
        <v>659536</v>
      </c>
      <c r="T30" s="159">
        <v>257411</v>
      </c>
      <c r="U30" s="161">
        <v>157097</v>
      </c>
      <c r="V30" s="161">
        <v>12852</v>
      </c>
      <c r="W30" s="161">
        <v>14</v>
      </c>
      <c r="X30" s="157">
        <f t="shared" si="4"/>
        <v>427374</v>
      </c>
      <c r="Y30" s="159">
        <v>254616</v>
      </c>
      <c r="Z30" s="161">
        <v>127626</v>
      </c>
      <c r="AA30" s="161">
        <v>24567</v>
      </c>
      <c r="AB30" s="161">
        <v>3</v>
      </c>
      <c r="AC30" s="157">
        <f t="shared" si="5"/>
        <v>406812</v>
      </c>
      <c r="AD30" s="159">
        <v>261910</v>
      </c>
      <c r="AE30" s="161">
        <v>898028</v>
      </c>
      <c r="AF30" s="161">
        <v>19103</v>
      </c>
      <c r="AG30" s="161">
        <v>116</v>
      </c>
      <c r="AH30" s="157">
        <f t="shared" si="6"/>
        <v>1179157</v>
      </c>
      <c r="AI30" s="159">
        <v>238307</v>
      </c>
      <c r="AJ30" s="161">
        <v>90631</v>
      </c>
      <c r="AK30" s="161">
        <v>9568</v>
      </c>
      <c r="AL30" s="161">
        <v>23</v>
      </c>
      <c r="AM30" s="157">
        <f t="shared" si="7"/>
        <v>338529</v>
      </c>
      <c r="AN30" s="159">
        <v>0</v>
      </c>
      <c r="AO30" s="161">
        <v>0</v>
      </c>
      <c r="AP30" s="161">
        <v>0</v>
      </c>
      <c r="AQ30" s="161">
        <v>0</v>
      </c>
      <c r="AR30" s="157">
        <f t="shared" si="1"/>
        <v>0</v>
      </c>
      <c r="AS30" s="159">
        <v>0</v>
      </c>
      <c r="AT30" s="161">
        <v>0</v>
      </c>
      <c r="AU30" s="161">
        <v>0</v>
      </c>
      <c r="AV30" s="161">
        <v>0</v>
      </c>
      <c r="AW30" s="157">
        <f t="shared" si="8"/>
        <v>0</v>
      </c>
      <c r="AX30" s="159">
        <v>0</v>
      </c>
      <c r="AY30" s="161">
        <v>0</v>
      </c>
      <c r="AZ30" s="161">
        <v>0</v>
      </c>
      <c r="BA30" s="161">
        <v>0</v>
      </c>
      <c r="BB30" s="157">
        <f t="shared" si="9"/>
        <v>0</v>
      </c>
      <c r="BC30" s="159">
        <v>0</v>
      </c>
      <c r="BD30" s="161">
        <v>0</v>
      </c>
      <c r="BE30" s="161">
        <v>0</v>
      </c>
      <c r="BF30" s="161">
        <v>0</v>
      </c>
      <c r="BG30" s="157">
        <f t="shared" si="10"/>
        <v>0</v>
      </c>
      <c r="BH30" s="159">
        <v>0</v>
      </c>
      <c r="BI30" s="161">
        <v>0</v>
      </c>
      <c r="BJ30" s="161">
        <v>0</v>
      </c>
      <c r="BK30" s="161">
        <v>0</v>
      </c>
      <c r="BL30" s="157">
        <f t="shared" si="11"/>
        <v>0</v>
      </c>
      <c r="BM30" s="159">
        <v>0</v>
      </c>
      <c r="BN30" s="161">
        <v>0</v>
      </c>
      <c r="BO30" s="161">
        <v>0</v>
      </c>
      <c r="BP30" s="161">
        <v>0</v>
      </c>
      <c r="BQ30" s="157">
        <f t="shared" si="12"/>
        <v>0</v>
      </c>
      <c r="BR30" s="159">
        <f t="shared" si="16"/>
        <v>1592317</v>
      </c>
      <c r="BS30" s="337">
        <f t="shared" si="16"/>
        <v>2192074</v>
      </c>
      <c r="BT30" s="161">
        <f t="shared" si="16"/>
        <v>94375</v>
      </c>
      <c r="BU30" s="161">
        <f t="shared" si="16"/>
        <v>173</v>
      </c>
      <c r="BV30" s="159">
        <f t="shared" si="2"/>
        <v>3878939</v>
      </c>
      <c r="BW30" s="129"/>
      <c r="BX30" s="368">
        <f t="shared" si="15"/>
        <v>52.115346686035238</v>
      </c>
    </row>
    <row r="31" spans="1:80" x14ac:dyDescent="0.2">
      <c r="A31" s="303">
        <v>25</v>
      </c>
      <c r="B31" s="304" t="s">
        <v>305</v>
      </c>
      <c r="D31" s="305"/>
      <c r="E31" s="338">
        <v>124746</v>
      </c>
      <c r="F31" s="337">
        <v>840822</v>
      </c>
      <c r="G31" s="337">
        <v>763</v>
      </c>
      <c r="H31" s="337">
        <v>0</v>
      </c>
      <c r="I31" s="157">
        <f t="shared" si="0"/>
        <v>966331</v>
      </c>
      <c r="J31" s="159">
        <v>12577</v>
      </c>
      <c r="K31" s="161">
        <v>160603</v>
      </c>
      <c r="L31" s="161">
        <v>38</v>
      </c>
      <c r="M31" s="161">
        <v>0</v>
      </c>
      <c r="N31" s="157">
        <f t="shared" si="14"/>
        <v>173218</v>
      </c>
      <c r="O31" s="161">
        <v>8990</v>
      </c>
      <c r="P31" s="161">
        <v>72420</v>
      </c>
      <c r="Q31" s="161">
        <v>76</v>
      </c>
      <c r="R31" s="161">
        <v>0</v>
      </c>
      <c r="S31" s="157">
        <f>SUM(O31:R31)</f>
        <v>81486</v>
      </c>
      <c r="T31" s="159">
        <v>10450</v>
      </c>
      <c r="U31" s="161">
        <v>17500</v>
      </c>
      <c r="V31" s="161">
        <v>59</v>
      </c>
      <c r="W31" s="161">
        <v>0</v>
      </c>
      <c r="X31" s="157">
        <f t="shared" si="4"/>
        <v>28009</v>
      </c>
      <c r="Y31" s="159">
        <v>12028</v>
      </c>
      <c r="Z31" s="161">
        <v>100656</v>
      </c>
      <c r="AA31" s="161">
        <v>58</v>
      </c>
      <c r="AB31" s="161">
        <v>0</v>
      </c>
      <c r="AC31" s="157">
        <f t="shared" si="5"/>
        <v>112742</v>
      </c>
      <c r="AD31" s="159">
        <v>10832</v>
      </c>
      <c r="AE31" s="161">
        <v>113420</v>
      </c>
      <c r="AF31" s="161">
        <v>47</v>
      </c>
      <c r="AG31" s="161">
        <v>0</v>
      </c>
      <c r="AH31" s="157">
        <f t="shared" si="6"/>
        <v>124299</v>
      </c>
      <c r="AI31" s="159">
        <v>12479</v>
      </c>
      <c r="AJ31" s="161">
        <v>17504</v>
      </c>
      <c r="AK31" s="161">
        <v>65</v>
      </c>
      <c r="AL31" s="161">
        <v>0</v>
      </c>
      <c r="AM31" s="157">
        <f t="shared" si="7"/>
        <v>30048</v>
      </c>
      <c r="AN31" s="159">
        <v>0</v>
      </c>
      <c r="AO31" s="161">
        <v>0</v>
      </c>
      <c r="AP31" s="161">
        <v>0</v>
      </c>
      <c r="AQ31" s="161">
        <v>0</v>
      </c>
      <c r="AR31" s="157">
        <f t="shared" si="1"/>
        <v>0</v>
      </c>
      <c r="AS31" s="159">
        <v>0</v>
      </c>
      <c r="AT31" s="161">
        <v>0</v>
      </c>
      <c r="AU31" s="161">
        <v>0</v>
      </c>
      <c r="AV31" s="161">
        <v>0</v>
      </c>
      <c r="AW31" s="157">
        <f t="shared" si="8"/>
        <v>0</v>
      </c>
      <c r="AX31" s="159">
        <v>0</v>
      </c>
      <c r="AY31" s="161">
        <v>0</v>
      </c>
      <c r="AZ31" s="161">
        <v>0</v>
      </c>
      <c r="BA31" s="161">
        <v>0</v>
      </c>
      <c r="BB31" s="157">
        <f t="shared" si="9"/>
        <v>0</v>
      </c>
      <c r="BC31" s="159">
        <v>0</v>
      </c>
      <c r="BD31" s="161">
        <v>0</v>
      </c>
      <c r="BE31" s="161">
        <v>0</v>
      </c>
      <c r="BF31" s="161">
        <v>0</v>
      </c>
      <c r="BG31" s="157">
        <f t="shared" si="10"/>
        <v>0</v>
      </c>
      <c r="BH31" s="159">
        <v>0</v>
      </c>
      <c r="BI31" s="161">
        <v>0</v>
      </c>
      <c r="BJ31" s="161">
        <v>0</v>
      </c>
      <c r="BK31" s="161">
        <v>0</v>
      </c>
      <c r="BL31" s="157">
        <f t="shared" si="11"/>
        <v>0</v>
      </c>
      <c r="BM31" s="159">
        <v>0</v>
      </c>
      <c r="BN31" s="161">
        <v>0</v>
      </c>
      <c r="BO31" s="161">
        <v>0</v>
      </c>
      <c r="BP31" s="161">
        <v>0</v>
      </c>
      <c r="BQ31" s="157">
        <f t="shared" si="12"/>
        <v>0</v>
      </c>
      <c r="BR31" s="159">
        <f t="shared" si="16"/>
        <v>67356</v>
      </c>
      <c r="BS31" s="337">
        <f t="shared" si="16"/>
        <v>482103</v>
      </c>
      <c r="BT31" s="161">
        <f t="shared" si="16"/>
        <v>343</v>
      </c>
      <c r="BU31" s="161">
        <f t="shared" si="16"/>
        <v>0</v>
      </c>
      <c r="BV31" s="159">
        <f t="shared" si="2"/>
        <v>549802</v>
      </c>
      <c r="BW31" s="129"/>
      <c r="BX31" s="368">
        <f>(BV31/I31)*100</f>
        <v>56.895825550458376</v>
      </c>
    </row>
    <row r="32" spans="1:80" x14ac:dyDescent="0.2">
      <c r="A32" s="303">
        <v>26</v>
      </c>
      <c r="B32" s="304" t="s">
        <v>306</v>
      </c>
      <c r="D32" s="305"/>
      <c r="E32" s="338">
        <v>614953</v>
      </c>
      <c r="F32" s="337">
        <v>6348643</v>
      </c>
      <c r="G32" s="337">
        <v>2237</v>
      </c>
      <c r="H32" s="337">
        <v>11</v>
      </c>
      <c r="I32" s="157">
        <f t="shared" si="0"/>
        <v>6965844</v>
      </c>
      <c r="J32" s="159">
        <v>34656</v>
      </c>
      <c r="K32" s="161">
        <v>476094</v>
      </c>
      <c r="L32" s="161">
        <v>0</v>
      </c>
      <c r="M32" s="161">
        <v>0</v>
      </c>
      <c r="N32" s="157">
        <f t="shared" si="14"/>
        <v>510750</v>
      </c>
      <c r="O32" s="161">
        <v>41232</v>
      </c>
      <c r="P32" s="161">
        <v>613287</v>
      </c>
      <c r="Q32" s="161">
        <v>495</v>
      </c>
      <c r="R32" s="161">
        <v>0</v>
      </c>
      <c r="S32" s="157">
        <f>SUM(O32:R32)</f>
        <v>655014</v>
      </c>
      <c r="T32" s="159">
        <v>42340</v>
      </c>
      <c r="U32" s="161">
        <v>94049</v>
      </c>
      <c r="V32" s="161">
        <v>294</v>
      </c>
      <c r="W32" s="161">
        <v>0</v>
      </c>
      <c r="X32" s="157">
        <f t="shared" si="4"/>
        <v>136683</v>
      </c>
      <c r="Y32" s="159">
        <v>41777</v>
      </c>
      <c r="Z32" s="161">
        <v>740658</v>
      </c>
      <c r="AA32" s="161">
        <v>127</v>
      </c>
      <c r="AB32" s="161">
        <v>0</v>
      </c>
      <c r="AC32" s="157">
        <f t="shared" si="5"/>
        <v>782562</v>
      </c>
      <c r="AD32" s="159">
        <v>42470</v>
      </c>
      <c r="AE32" s="161">
        <v>793677</v>
      </c>
      <c r="AF32" s="161">
        <v>433</v>
      </c>
      <c r="AG32" s="161">
        <v>8</v>
      </c>
      <c r="AH32" s="157">
        <f>SUM(AD32:AG32)</f>
        <v>836588</v>
      </c>
      <c r="AI32" s="159">
        <v>63596</v>
      </c>
      <c r="AJ32" s="161">
        <v>110403</v>
      </c>
      <c r="AK32" s="161">
        <v>240</v>
      </c>
      <c r="AL32" s="161">
        <v>0</v>
      </c>
      <c r="AM32" s="157">
        <f t="shared" si="7"/>
        <v>174239</v>
      </c>
      <c r="AN32" s="159">
        <v>0</v>
      </c>
      <c r="AO32" s="161">
        <v>0</v>
      </c>
      <c r="AP32" s="161">
        <v>0</v>
      </c>
      <c r="AQ32" s="161">
        <v>0</v>
      </c>
      <c r="AR32" s="157">
        <f t="shared" si="1"/>
        <v>0</v>
      </c>
      <c r="AS32" s="159">
        <v>0</v>
      </c>
      <c r="AT32" s="161">
        <v>0</v>
      </c>
      <c r="AU32" s="161">
        <v>0</v>
      </c>
      <c r="AV32" s="161">
        <v>0</v>
      </c>
      <c r="AW32" s="157">
        <f t="shared" si="8"/>
        <v>0</v>
      </c>
      <c r="AX32" s="159">
        <v>0</v>
      </c>
      <c r="AY32" s="161">
        <v>0</v>
      </c>
      <c r="AZ32" s="161">
        <v>0</v>
      </c>
      <c r="BA32" s="161">
        <v>0</v>
      </c>
      <c r="BB32" s="157">
        <f t="shared" si="9"/>
        <v>0</v>
      </c>
      <c r="BC32" s="159">
        <v>0</v>
      </c>
      <c r="BD32" s="161">
        <v>0</v>
      </c>
      <c r="BE32" s="161">
        <v>0</v>
      </c>
      <c r="BF32" s="161">
        <v>0</v>
      </c>
      <c r="BG32" s="157">
        <f t="shared" si="10"/>
        <v>0</v>
      </c>
      <c r="BH32" s="159">
        <v>0</v>
      </c>
      <c r="BI32" s="161">
        <v>0</v>
      </c>
      <c r="BJ32" s="161">
        <v>0</v>
      </c>
      <c r="BK32" s="161">
        <v>0</v>
      </c>
      <c r="BL32" s="157">
        <f t="shared" si="11"/>
        <v>0</v>
      </c>
      <c r="BM32" s="159">
        <v>0</v>
      </c>
      <c r="BN32" s="161">
        <v>0</v>
      </c>
      <c r="BO32" s="161">
        <v>0</v>
      </c>
      <c r="BP32" s="161">
        <v>0</v>
      </c>
      <c r="BQ32" s="157">
        <f t="shared" si="12"/>
        <v>0</v>
      </c>
      <c r="BR32" s="159">
        <f t="shared" si="16"/>
        <v>266071</v>
      </c>
      <c r="BS32" s="337">
        <f t="shared" si="16"/>
        <v>2828168</v>
      </c>
      <c r="BT32" s="161">
        <f t="shared" si="16"/>
        <v>1589</v>
      </c>
      <c r="BU32" s="161">
        <f t="shared" si="16"/>
        <v>8</v>
      </c>
      <c r="BV32" s="159">
        <f t="shared" si="2"/>
        <v>3095836</v>
      </c>
      <c r="BW32" s="129"/>
      <c r="BX32" s="368">
        <f>(BV32/I32)*100</f>
        <v>44.443085432289323</v>
      </c>
    </row>
    <row r="33" spans="1:78" x14ac:dyDescent="0.2">
      <c r="A33" s="303">
        <v>27</v>
      </c>
      <c r="B33" s="86" t="s">
        <v>307</v>
      </c>
      <c r="D33" s="307"/>
      <c r="E33" s="338">
        <v>5055861</v>
      </c>
      <c r="F33" s="337">
        <v>2095798</v>
      </c>
      <c r="G33" s="337">
        <v>205016</v>
      </c>
      <c r="H33" s="337">
        <v>1645</v>
      </c>
      <c r="I33" s="157">
        <f t="shared" si="0"/>
        <v>7358320</v>
      </c>
      <c r="J33" s="159">
        <v>152643</v>
      </c>
      <c r="K33" s="161">
        <v>126597</v>
      </c>
      <c r="L33" s="161">
        <v>69</v>
      </c>
      <c r="M33" s="161">
        <v>0</v>
      </c>
      <c r="N33" s="157">
        <f t="shared" si="14"/>
        <v>279309</v>
      </c>
      <c r="O33" s="161">
        <v>413177</v>
      </c>
      <c r="P33" s="161">
        <v>141813</v>
      </c>
      <c r="Q33" s="161">
        <v>1106</v>
      </c>
      <c r="R33" s="161">
        <v>0</v>
      </c>
      <c r="S33" s="157">
        <f t="shared" ref="S33:S46" si="18">SUM(O33:R33)</f>
        <v>556096</v>
      </c>
      <c r="T33" s="159">
        <v>303803</v>
      </c>
      <c r="U33" s="161">
        <v>64958</v>
      </c>
      <c r="V33" s="161">
        <v>26154</v>
      </c>
      <c r="W33" s="161">
        <v>0</v>
      </c>
      <c r="X33" s="157">
        <f t="shared" si="4"/>
        <v>394915</v>
      </c>
      <c r="Y33" s="159">
        <v>463602</v>
      </c>
      <c r="Z33" s="161">
        <v>110638</v>
      </c>
      <c r="AA33" s="161">
        <v>17527</v>
      </c>
      <c r="AB33" s="161">
        <v>0</v>
      </c>
      <c r="AC33" s="157">
        <f t="shared" si="5"/>
        <v>591767</v>
      </c>
      <c r="AD33" s="159">
        <v>276602</v>
      </c>
      <c r="AE33" s="161">
        <v>64335</v>
      </c>
      <c r="AF33" s="161">
        <v>18336</v>
      </c>
      <c r="AG33" s="161">
        <v>0</v>
      </c>
      <c r="AH33" s="157">
        <f t="shared" si="6"/>
        <v>359273</v>
      </c>
      <c r="AI33" s="159">
        <v>411961</v>
      </c>
      <c r="AJ33" s="161">
        <v>89756</v>
      </c>
      <c r="AK33" s="161">
        <v>26648</v>
      </c>
      <c r="AL33" s="161">
        <v>1534</v>
      </c>
      <c r="AM33" s="157">
        <f t="shared" si="7"/>
        <v>529899</v>
      </c>
      <c r="AN33" s="159">
        <v>0</v>
      </c>
      <c r="AO33" s="161">
        <v>0</v>
      </c>
      <c r="AP33" s="161">
        <v>0</v>
      </c>
      <c r="AQ33" s="161">
        <v>0</v>
      </c>
      <c r="AR33" s="157">
        <f t="shared" si="1"/>
        <v>0</v>
      </c>
      <c r="AS33" s="159">
        <v>0</v>
      </c>
      <c r="AT33" s="161">
        <v>0</v>
      </c>
      <c r="AU33" s="161">
        <v>0</v>
      </c>
      <c r="AV33" s="161">
        <v>0</v>
      </c>
      <c r="AW33" s="157">
        <f t="shared" si="8"/>
        <v>0</v>
      </c>
      <c r="AX33" s="159">
        <v>0</v>
      </c>
      <c r="AY33" s="161">
        <v>0</v>
      </c>
      <c r="AZ33" s="161">
        <v>0</v>
      </c>
      <c r="BA33" s="161">
        <v>0</v>
      </c>
      <c r="BB33" s="157">
        <f t="shared" si="9"/>
        <v>0</v>
      </c>
      <c r="BC33" s="159">
        <v>0</v>
      </c>
      <c r="BD33" s="161">
        <v>0</v>
      </c>
      <c r="BE33" s="161">
        <v>0</v>
      </c>
      <c r="BF33" s="161">
        <v>0</v>
      </c>
      <c r="BG33" s="157">
        <f t="shared" si="10"/>
        <v>0</v>
      </c>
      <c r="BH33" s="159">
        <v>0</v>
      </c>
      <c r="BI33" s="161">
        <v>0</v>
      </c>
      <c r="BJ33" s="161">
        <v>0</v>
      </c>
      <c r="BK33" s="161">
        <v>0</v>
      </c>
      <c r="BL33" s="157">
        <f t="shared" si="11"/>
        <v>0</v>
      </c>
      <c r="BM33" s="159">
        <v>0</v>
      </c>
      <c r="BN33" s="161">
        <v>0</v>
      </c>
      <c r="BO33" s="161">
        <v>0</v>
      </c>
      <c r="BP33" s="161">
        <v>0</v>
      </c>
      <c r="BQ33" s="157">
        <f t="shared" si="12"/>
        <v>0</v>
      </c>
      <c r="BR33" s="159">
        <f t="shared" si="16"/>
        <v>2021788</v>
      </c>
      <c r="BS33" s="337">
        <f t="shared" si="16"/>
        <v>598097</v>
      </c>
      <c r="BT33" s="161">
        <f t="shared" si="16"/>
        <v>89840</v>
      </c>
      <c r="BU33" s="161">
        <f t="shared" si="16"/>
        <v>1534</v>
      </c>
      <c r="BV33" s="159">
        <f t="shared" si="2"/>
        <v>2711259</v>
      </c>
      <c r="BW33" s="129"/>
      <c r="BX33" s="368">
        <f t="shared" si="15"/>
        <v>36.846168690679391</v>
      </c>
    </row>
    <row r="34" spans="1:78" x14ac:dyDescent="0.2">
      <c r="A34" s="303">
        <v>28</v>
      </c>
      <c r="B34" s="86" t="s">
        <v>308</v>
      </c>
      <c r="D34" s="305"/>
      <c r="E34" s="338">
        <v>1828299</v>
      </c>
      <c r="F34" s="337">
        <v>1338301</v>
      </c>
      <c r="G34" s="337">
        <v>43295</v>
      </c>
      <c r="H34" s="337">
        <v>1116</v>
      </c>
      <c r="I34" s="157">
        <f t="shared" si="0"/>
        <v>3211011</v>
      </c>
      <c r="J34" s="159">
        <v>125523</v>
      </c>
      <c r="K34" s="161">
        <v>292413</v>
      </c>
      <c r="L34" s="161">
        <v>628</v>
      </c>
      <c r="M34" s="161">
        <v>1</v>
      </c>
      <c r="N34" s="157">
        <f t="shared" si="14"/>
        <v>418565</v>
      </c>
      <c r="O34" s="161">
        <v>149186</v>
      </c>
      <c r="P34" s="161">
        <v>2085</v>
      </c>
      <c r="Q34" s="161">
        <v>2847</v>
      </c>
      <c r="R34" s="161">
        <v>60</v>
      </c>
      <c r="S34" s="157">
        <f t="shared" si="18"/>
        <v>154178</v>
      </c>
      <c r="T34" s="159">
        <v>133260</v>
      </c>
      <c r="U34" s="161">
        <v>52148</v>
      </c>
      <c r="V34" s="161">
        <v>379</v>
      </c>
      <c r="W34" s="161">
        <v>114</v>
      </c>
      <c r="X34" s="157">
        <f t="shared" si="4"/>
        <v>185901</v>
      </c>
      <c r="Y34" s="159">
        <v>161126</v>
      </c>
      <c r="Z34" s="161">
        <v>2994</v>
      </c>
      <c r="AA34" s="161">
        <v>10417</v>
      </c>
      <c r="AB34" s="161">
        <v>-3</v>
      </c>
      <c r="AC34" s="157">
        <f t="shared" si="5"/>
        <v>174534</v>
      </c>
      <c r="AD34" s="159">
        <v>142292</v>
      </c>
      <c r="AE34" s="161">
        <v>296631</v>
      </c>
      <c r="AF34" s="161">
        <v>2945</v>
      </c>
      <c r="AG34" s="161">
        <v>43</v>
      </c>
      <c r="AH34" s="157">
        <f t="shared" si="6"/>
        <v>441911</v>
      </c>
      <c r="AI34" s="159">
        <v>153646</v>
      </c>
      <c r="AJ34" s="161">
        <v>5014</v>
      </c>
      <c r="AK34" s="161">
        <v>3527</v>
      </c>
      <c r="AL34" s="161">
        <v>12</v>
      </c>
      <c r="AM34" s="157">
        <f t="shared" si="7"/>
        <v>162199</v>
      </c>
      <c r="AN34" s="159">
        <v>0</v>
      </c>
      <c r="AO34" s="161">
        <v>0</v>
      </c>
      <c r="AP34" s="161">
        <v>0</v>
      </c>
      <c r="AQ34" s="161">
        <v>0</v>
      </c>
      <c r="AR34" s="157">
        <f t="shared" si="1"/>
        <v>0</v>
      </c>
      <c r="AS34" s="159">
        <v>0</v>
      </c>
      <c r="AT34" s="161">
        <v>0</v>
      </c>
      <c r="AU34" s="161">
        <v>0</v>
      </c>
      <c r="AV34" s="161">
        <v>0</v>
      </c>
      <c r="AW34" s="157">
        <f t="shared" si="8"/>
        <v>0</v>
      </c>
      <c r="AX34" s="159">
        <v>0</v>
      </c>
      <c r="AY34" s="161">
        <v>0</v>
      </c>
      <c r="AZ34" s="161">
        <v>0</v>
      </c>
      <c r="BA34" s="161">
        <v>0</v>
      </c>
      <c r="BB34" s="157">
        <f t="shared" si="9"/>
        <v>0</v>
      </c>
      <c r="BC34" s="159">
        <v>0</v>
      </c>
      <c r="BD34" s="161">
        <v>0</v>
      </c>
      <c r="BE34" s="161">
        <v>0</v>
      </c>
      <c r="BF34" s="161">
        <v>0</v>
      </c>
      <c r="BG34" s="157">
        <f t="shared" si="10"/>
        <v>0</v>
      </c>
      <c r="BH34" s="159">
        <v>0</v>
      </c>
      <c r="BI34" s="161">
        <v>0</v>
      </c>
      <c r="BJ34" s="161">
        <v>0</v>
      </c>
      <c r="BK34" s="161">
        <v>0</v>
      </c>
      <c r="BL34" s="157">
        <f t="shared" si="11"/>
        <v>0</v>
      </c>
      <c r="BM34" s="159">
        <v>0</v>
      </c>
      <c r="BN34" s="161">
        <v>0</v>
      </c>
      <c r="BO34" s="161">
        <v>0</v>
      </c>
      <c r="BP34" s="161">
        <v>0</v>
      </c>
      <c r="BQ34" s="157">
        <f t="shared" si="12"/>
        <v>0</v>
      </c>
      <c r="BR34" s="159">
        <f t="shared" si="16"/>
        <v>865033</v>
      </c>
      <c r="BS34" s="337">
        <f t="shared" si="16"/>
        <v>651285</v>
      </c>
      <c r="BT34" s="161">
        <f t="shared" si="16"/>
        <v>20743</v>
      </c>
      <c r="BU34" s="161">
        <f t="shared" si="16"/>
        <v>227</v>
      </c>
      <c r="BV34" s="159">
        <f t="shared" si="2"/>
        <v>1537288</v>
      </c>
      <c r="BW34" s="129"/>
      <c r="BX34" s="368">
        <f t="shared" si="15"/>
        <v>47.875513350779556</v>
      </c>
    </row>
    <row r="35" spans="1:78" x14ac:dyDescent="0.2">
      <c r="A35" s="303">
        <v>29</v>
      </c>
      <c r="B35" s="304" t="s">
        <v>309</v>
      </c>
      <c r="D35" s="305"/>
      <c r="E35" s="338">
        <v>937374</v>
      </c>
      <c r="F35" s="337">
        <v>1048650</v>
      </c>
      <c r="G35" s="337">
        <v>2196</v>
      </c>
      <c r="H35" s="337">
        <v>73</v>
      </c>
      <c r="I35" s="157">
        <f t="shared" si="0"/>
        <v>1988293</v>
      </c>
      <c r="J35" s="159">
        <v>91734</v>
      </c>
      <c r="K35" s="161">
        <v>200010</v>
      </c>
      <c r="L35" s="161">
        <v>133</v>
      </c>
      <c r="M35" s="161">
        <v>0</v>
      </c>
      <c r="N35" s="157">
        <f t="shared" si="14"/>
        <v>291877</v>
      </c>
      <c r="O35" s="161">
        <v>71355</v>
      </c>
      <c r="P35" s="161">
        <v>76379</v>
      </c>
      <c r="Q35" s="161">
        <v>569</v>
      </c>
      <c r="R35" s="161">
        <v>0</v>
      </c>
      <c r="S35" s="157">
        <f t="shared" si="18"/>
        <v>148303</v>
      </c>
      <c r="T35" s="159">
        <v>81849</v>
      </c>
      <c r="U35" s="161">
        <v>64821</v>
      </c>
      <c r="V35" s="161">
        <v>0</v>
      </c>
      <c r="W35" s="161">
        <v>0</v>
      </c>
      <c r="X35" s="157">
        <f t="shared" si="4"/>
        <v>146670</v>
      </c>
      <c r="Y35" s="159">
        <v>81415</v>
      </c>
      <c r="Z35" s="161">
        <v>163708</v>
      </c>
      <c r="AA35" s="161">
        <v>268</v>
      </c>
      <c r="AB35" s="161">
        <v>0</v>
      </c>
      <c r="AC35" s="157">
        <f t="shared" si="5"/>
        <v>245391</v>
      </c>
      <c r="AD35" s="159">
        <v>70428</v>
      </c>
      <c r="AE35" s="161">
        <v>77762</v>
      </c>
      <c r="AF35" s="161">
        <v>34</v>
      </c>
      <c r="AG35" s="161">
        <v>0</v>
      </c>
      <c r="AH35" s="157">
        <f t="shared" si="6"/>
        <v>148224</v>
      </c>
      <c r="AI35" s="159">
        <v>72692</v>
      </c>
      <c r="AJ35" s="161">
        <v>62024</v>
      </c>
      <c r="AK35" s="161">
        <v>49</v>
      </c>
      <c r="AL35" s="161">
        <v>0</v>
      </c>
      <c r="AM35" s="157">
        <f t="shared" si="7"/>
        <v>134765</v>
      </c>
      <c r="AN35" s="159">
        <v>0</v>
      </c>
      <c r="AO35" s="161">
        <v>0</v>
      </c>
      <c r="AP35" s="161">
        <v>0</v>
      </c>
      <c r="AQ35" s="161">
        <v>0</v>
      </c>
      <c r="AR35" s="157">
        <f t="shared" si="1"/>
        <v>0</v>
      </c>
      <c r="AS35" s="159">
        <v>0</v>
      </c>
      <c r="AT35" s="161">
        <v>0</v>
      </c>
      <c r="AU35" s="161">
        <v>0</v>
      </c>
      <c r="AV35" s="161">
        <v>0</v>
      </c>
      <c r="AW35" s="157">
        <f t="shared" si="8"/>
        <v>0</v>
      </c>
      <c r="AX35" s="159">
        <v>0</v>
      </c>
      <c r="AY35" s="161">
        <v>0</v>
      </c>
      <c r="AZ35" s="161">
        <v>0</v>
      </c>
      <c r="BA35" s="161">
        <v>0</v>
      </c>
      <c r="BB35" s="157">
        <f t="shared" si="9"/>
        <v>0</v>
      </c>
      <c r="BC35" s="159">
        <v>0</v>
      </c>
      <c r="BD35" s="161">
        <v>0</v>
      </c>
      <c r="BE35" s="161">
        <v>0</v>
      </c>
      <c r="BF35" s="161">
        <v>0</v>
      </c>
      <c r="BG35" s="157">
        <f t="shared" si="10"/>
        <v>0</v>
      </c>
      <c r="BH35" s="159">
        <v>0</v>
      </c>
      <c r="BI35" s="161">
        <v>0</v>
      </c>
      <c r="BJ35" s="161">
        <v>0</v>
      </c>
      <c r="BK35" s="161">
        <v>0</v>
      </c>
      <c r="BL35" s="157">
        <f t="shared" si="11"/>
        <v>0</v>
      </c>
      <c r="BM35" s="159">
        <v>0</v>
      </c>
      <c r="BN35" s="161">
        <v>0</v>
      </c>
      <c r="BO35" s="161">
        <v>0</v>
      </c>
      <c r="BP35" s="161">
        <v>0</v>
      </c>
      <c r="BQ35" s="157">
        <f t="shared" si="12"/>
        <v>0</v>
      </c>
      <c r="BR35" s="159">
        <f t="shared" si="16"/>
        <v>469473</v>
      </c>
      <c r="BS35" s="337">
        <f t="shared" si="16"/>
        <v>644704</v>
      </c>
      <c r="BT35" s="161">
        <f t="shared" si="16"/>
        <v>1053</v>
      </c>
      <c r="BU35" s="161">
        <f t="shared" si="16"/>
        <v>0</v>
      </c>
      <c r="BV35" s="159">
        <f t="shared" si="2"/>
        <v>1115230</v>
      </c>
      <c r="BW35" s="129"/>
      <c r="BX35" s="368">
        <f t="shared" si="15"/>
        <v>56.089821771740887</v>
      </c>
      <c r="BY35" s="280"/>
      <c r="BZ35" s="280"/>
    </row>
    <row r="36" spans="1:78" x14ac:dyDescent="0.2">
      <c r="A36" s="303">
        <v>30</v>
      </c>
      <c r="B36" s="304" t="s">
        <v>310</v>
      </c>
      <c r="D36" s="305"/>
      <c r="E36" s="338">
        <v>530883</v>
      </c>
      <c r="F36" s="337">
        <v>7513930</v>
      </c>
      <c r="G36" s="337">
        <v>7542</v>
      </c>
      <c r="H36" s="337">
        <v>90</v>
      </c>
      <c r="I36" s="157">
        <f t="shared" si="0"/>
        <v>8052445</v>
      </c>
      <c r="J36" s="159">
        <v>34532</v>
      </c>
      <c r="K36" s="161">
        <v>842756</v>
      </c>
      <c r="L36" s="161">
        <v>3</v>
      </c>
      <c r="M36" s="161">
        <v>0</v>
      </c>
      <c r="N36" s="157">
        <f t="shared" si="14"/>
        <v>877291</v>
      </c>
      <c r="O36" s="161">
        <v>36142</v>
      </c>
      <c r="P36" s="161">
        <v>30668</v>
      </c>
      <c r="Q36" s="161">
        <v>373</v>
      </c>
      <c r="R36" s="161">
        <v>0</v>
      </c>
      <c r="S36" s="157">
        <f t="shared" si="18"/>
        <v>67183</v>
      </c>
      <c r="T36" s="159">
        <v>40271</v>
      </c>
      <c r="U36" s="161">
        <v>225000</v>
      </c>
      <c r="V36" s="161">
        <v>1296</v>
      </c>
      <c r="W36" s="161">
        <v>0</v>
      </c>
      <c r="X36" s="157">
        <f t="shared" si="4"/>
        <v>266567</v>
      </c>
      <c r="Y36" s="159">
        <v>40131</v>
      </c>
      <c r="Z36" s="161">
        <v>744276</v>
      </c>
      <c r="AA36" s="161">
        <v>1178</v>
      </c>
      <c r="AB36" s="161">
        <v>1</v>
      </c>
      <c r="AC36" s="157">
        <f t="shared" si="5"/>
        <v>785586</v>
      </c>
      <c r="AD36" s="159">
        <v>47254</v>
      </c>
      <c r="AE36" s="161">
        <v>1822059</v>
      </c>
      <c r="AF36" s="161">
        <v>2066</v>
      </c>
      <c r="AG36" s="161">
        <v>1</v>
      </c>
      <c r="AH36" s="157">
        <f>SUM(AD36:AG36)</f>
        <v>1871380</v>
      </c>
      <c r="AI36" s="159">
        <v>37249</v>
      </c>
      <c r="AJ36" s="161">
        <v>191665</v>
      </c>
      <c r="AK36" s="161">
        <v>1331</v>
      </c>
      <c r="AL36" s="161">
        <v>7</v>
      </c>
      <c r="AM36" s="157">
        <f t="shared" si="7"/>
        <v>230252</v>
      </c>
      <c r="AN36" s="159">
        <v>0</v>
      </c>
      <c r="AO36" s="161">
        <v>0</v>
      </c>
      <c r="AP36" s="161">
        <v>0</v>
      </c>
      <c r="AQ36" s="161">
        <v>0</v>
      </c>
      <c r="AR36" s="157">
        <f t="shared" si="1"/>
        <v>0</v>
      </c>
      <c r="AS36" s="159">
        <v>0</v>
      </c>
      <c r="AT36" s="161">
        <v>0</v>
      </c>
      <c r="AU36" s="161">
        <v>0</v>
      </c>
      <c r="AV36" s="161">
        <v>0</v>
      </c>
      <c r="AW36" s="157">
        <f t="shared" si="8"/>
        <v>0</v>
      </c>
      <c r="AX36" s="159">
        <v>0</v>
      </c>
      <c r="AY36" s="161">
        <v>0</v>
      </c>
      <c r="AZ36" s="161">
        <v>0</v>
      </c>
      <c r="BA36" s="161">
        <v>0</v>
      </c>
      <c r="BB36" s="157">
        <f t="shared" si="9"/>
        <v>0</v>
      </c>
      <c r="BC36" s="159">
        <v>0</v>
      </c>
      <c r="BD36" s="161">
        <v>0</v>
      </c>
      <c r="BE36" s="161">
        <v>0</v>
      </c>
      <c r="BF36" s="161">
        <v>0</v>
      </c>
      <c r="BG36" s="157">
        <f t="shared" si="10"/>
        <v>0</v>
      </c>
      <c r="BH36" s="159">
        <v>0</v>
      </c>
      <c r="BI36" s="161">
        <v>0</v>
      </c>
      <c r="BJ36" s="161">
        <v>0</v>
      </c>
      <c r="BK36" s="161">
        <v>0</v>
      </c>
      <c r="BL36" s="157">
        <f t="shared" si="11"/>
        <v>0</v>
      </c>
      <c r="BM36" s="159">
        <v>0</v>
      </c>
      <c r="BN36" s="161">
        <v>0</v>
      </c>
      <c r="BO36" s="161">
        <v>0</v>
      </c>
      <c r="BP36" s="161">
        <v>0</v>
      </c>
      <c r="BQ36" s="157">
        <f t="shared" si="12"/>
        <v>0</v>
      </c>
      <c r="BR36" s="159">
        <f t="shared" si="16"/>
        <v>235579</v>
      </c>
      <c r="BS36" s="337">
        <f t="shared" si="16"/>
        <v>3856424</v>
      </c>
      <c r="BT36" s="161">
        <f t="shared" si="16"/>
        <v>6247</v>
      </c>
      <c r="BU36" s="161">
        <f t="shared" si="16"/>
        <v>9</v>
      </c>
      <c r="BV36" s="159">
        <f t="shared" si="2"/>
        <v>4098259</v>
      </c>
      <c r="BW36" s="129"/>
      <c r="BX36" s="368">
        <f t="shared" si="15"/>
        <v>50.894591642662569</v>
      </c>
      <c r="BY36" s="280"/>
      <c r="BZ36" s="161"/>
    </row>
    <row r="37" spans="1:78" x14ac:dyDescent="0.2">
      <c r="A37" s="303">
        <v>31</v>
      </c>
      <c r="B37" s="281" t="s">
        <v>257</v>
      </c>
      <c r="D37" s="313"/>
      <c r="E37" s="338">
        <v>198837</v>
      </c>
      <c r="F37" s="337">
        <v>2016773</v>
      </c>
      <c r="G37" s="337">
        <v>4231</v>
      </c>
      <c r="H37" s="337">
        <v>0</v>
      </c>
      <c r="I37" s="157">
        <f t="shared" si="0"/>
        <v>2219841</v>
      </c>
      <c r="J37" s="159">
        <v>15388</v>
      </c>
      <c r="K37" s="161">
        <v>13938</v>
      </c>
      <c r="L37" s="161">
        <v>72</v>
      </c>
      <c r="M37" s="161">
        <v>0</v>
      </c>
      <c r="N37" s="157">
        <f t="shared" si="14"/>
        <v>29398</v>
      </c>
      <c r="O37" s="161">
        <v>16666</v>
      </c>
      <c r="P37" s="161">
        <v>219455</v>
      </c>
      <c r="Q37" s="161">
        <v>307</v>
      </c>
      <c r="R37" s="161">
        <v>0</v>
      </c>
      <c r="S37" s="157">
        <f t="shared" si="18"/>
        <v>236428</v>
      </c>
      <c r="T37" s="159">
        <v>15258</v>
      </c>
      <c r="U37" s="161">
        <v>105476</v>
      </c>
      <c r="V37" s="161">
        <v>221</v>
      </c>
      <c r="W37" s="161">
        <v>0</v>
      </c>
      <c r="X37" s="157">
        <f t="shared" si="4"/>
        <v>120955</v>
      </c>
      <c r="Y37" s="159">
        <v>16077</v>
      </c>
      <c r="Z37" s="161">
        <v>94055</v>
      </c>
      <c r="AA37" s="161">
        <v>258</v>
      </c>
      <c r="AB37" s="161">
        <v>0</v>
      </c>
      <c r="AC37" s="157">
        <f t="shared" si="5"/>
        <v>110390</v>
      </c>
      <c r="AD37" s="159">
        <v>16832</v>
      </c>
      <c r="AE37" s="161">
        <v>87256</v>
      </c>
      <c r="AF37" s="161">
        <v>236</v>
      </c>
      <c r="AG37" s="161">
        <v>0</v>
      </c>
      <c r="AH37" s="157">
        <f t="shared" si="6"/>
        <v>104324</v>
      </c>
      <c r="AI37" s="159">
        <v>17925</v>
      </c>
      <c r="AJ37" s="161">
        <v>286705</v>
      </c>
      <c r="AK37" s="161">
        <v>455</v>
      </c>
      <c r="AL37" s="161">
        <v>0</v>
      </c>
      <c r="AM37" s="157">
        <f t="shared" si="7"/>
        <v>305085</v>
      </c>
      <c r="AN37" s="159">
        <v>0</v>
      </c>
      <c r="AO37" s="161">
        <v>0</v>
      </c>
      <c r="AP37" s="161">
        <v>0</v>
      </c>
      <c r="AQ37" s="161">
        <v>0</v>
      </c>
      <c r="AR37" s="157">
        <f t="shared" si="1"/>
        <v>0</v>
      </c>
      <c r="AS37" s="159">
        <v>0</v>
      </c>
      <c r="AT37" s="161">
        <v>0</v>
      </c>
      <c r="AU37" s="161">
        <v>0</v>
      </c>
      <c r="AV37" s="161">
        <v>0</v>
      </c>
      <c r="AW37" s="157">
        <f t="shared" si="8"/>
        <v>0</v>
      </c>
      <c r="AX37" s="159">
        <v>0</v>
      </c>
      <c r="AY37" s="161">
        <v>0</v>
      </c>
      <c r="AZ37" s="161">
        <v>0</v>
      </c>
      <c r="BA37" s="161">
        <v>0</v>
      </c>
      <c r="BB37" s="157">
        <f t="shared" si="9"/>
        <v>0</v>
      </c>
      <c r="BC37" s="159">
        <v>0</v>
      </c>
      <c r="BD37" s="161">
        <v>0</v>
      </c>
      <c r="BE37" s="161">
        <v>0</v>
      </c>
      <c r="BF37" s="161">
        <v>0</v>
      </c>
      <c r="BG37" s="157">
        <f t="shared" si="10"/>
        <v>0</v>
      </c>
      <c r="BH37" s="159">
        <v>0</v>
      </c>
      <c r="BI37" s="161">
        <v>0</v>
      </c>
      <c r="BJ37" s="161">
        <v>0</v>
      </c>
      <c r="BK37" s="161">
        <v>0</v>
      </c>
      <c r="BL37" s="157">
        <f t="shared" si="11"/>
        <v>0</v>
      </c>
      <c r="BM37" s="159">
        <v>0</v>
      </c>
      <c r="BN37" s="161">
        <v>0</v>
      </c>
      <c r="BO37" s="161">
        <v>0</v>
      </c>
      <c r="BP37" s="161">
        <v>0</v>
      </c>
      <c r="BQ37" s="157">
        <f t="shared" si="12"/>
        <v>0</v>
      </c>
      <c r="BR37" s="159">
        <f t="shared" si="16"/>
        <v>98146</v>
      </c>
      <c r="BS37" s="337">
        <f t="shared" si="16"/>
        <v>806885</v>
      </c>
      <c r="BT37" s="161">
        <f t="shared" si="16"/>
        <v>1549</v>
      </c>
      <c r="BU37" s="161">
        <f t="shared" si="16"/>
        <v>0</v>
      </c>
      <c r="BV37" s="159">
        <f t="shared" si="2"/>
        <v>906580</v>
      </c>
      <c r="BW37" s="129"/>
      <c r="BX37" s="368">
        <f t="shared" si="15"/>
        <v>40.839861954076888</v>
      </c>
      <c r="BY37" s="280"/>
      <c r="BZ37" s="161"/>
    </row>
    <row r="38" spans="1:78" x14ac:dyDescent="0.2">
      <c r="A38" s="303">
        <v>32</v>
      </c>
      <c r="B38" s="281" t="s">
        <v>311</v>
      </c>
      <c r="D38" s="305"/>
      <c r="E38" s="338">
        <v>552413</v>
      </c>
      <c r="F38" s="337">
        <v>1052673</v>
      </c>
      <c r="G38" s="337">
        <v>6883</v>
      </c>
      <c r="H38" s="337">
        <v>1</v>
      </c>
      <c r="I38" s="157">
        <f t="shared" si="0"/>
        <v>1611970</v>
      </c>
      <c r="J38" s="159">
        <v>27245</v>
      </c>
      <c r="K38" s="161">
        <v>218820</v>
      </c>
      <c r="L38" s="161">
        <v>944</v>
      </c>
      <c r="M38" s="161">
        <v>0</v>
      </c>
      <c r="N38" s="157">
        <f t="shared" si="14"/>
        <v>247009</v>
      </c>
      <c r="O38" s="161">
        <v>32341</v>
      </c>
      <c r="P38" s="161">
        <v>112743</v>
      </c>
      <c r="Q38" s="161">
        <v>204</v>
      </c>
      <c r="R38" s="161">
        <v>0</v>
      </c>
      <c r="S38" s="157">
        <f t="shared" si="18"/>
        <v>145288</v>
      </c>
      <c r="T38" s="159">
        <v>22715</v>
      </c>
      <c r="U38" s="161">
        <v>25790</v>
      </c>
      <c r="V38" s="161">
        <v>4</v>
      </c>
      <c r="W38" s="161">
        <v>0</v>
      </c>
      <c r="X38" s="157">
        <f t="shared" si="4"/>
        <v>48509</v>
      </c>
      <c r="Y38" s="159">
        <v>27493</v>
      </c>
      <c r="Z38" s="161">
        <v>241509</v>
      </c>
      <c r="AA38" s="161">
        <v>381</v>
      </c>
      <c r="AB38" s="161">
        <v>0</v>
      </c>
      <c r="AC38" s="157">
        <f t="shared" si="5"/>
        <v>269383</v>
      </c>
      <c r="AD38" s="159">
        <v>25967</v>
      </c>
      <c r="AE38" s="161">
        <v>342</v>
      </c>
      <c r="AF38" s="161">
        <v>84</v>
      </c>
      <c r="AG38" s="161">
        <v>0</v>
      </c>
      <c r="AH38" s="157">
        <f t="shared" si="6"/>
        <v>26393</v>
      </c>
      <c r="AI38" s="159">
        <v>24845</v>
      </c>
      <c r="AJ38" s="161">
        <v>247</v>
      </c>
      <c r="AK38" s="161">
        <v>148</v>
      </c>
      <c r="AL38" s="161">
        <v>0</v>
      </c>
      <c r="AM38" s="157">
        <f t="shared" si="7"/>
        <v>25240</v>
      </c>
      <c r="AN38" s="159">
        <v>0</v>
      </c>
      <c r="AO38" s="161">
        <v>0</v>
      </c>
      <c r="AP38" s="161">
        <v>0</v>
      </c>
      <c r="AQ38" s="161">
        <v>0</v>
      </c>
      <c r="AR38" s="157">
        <f t="shared" si="1"/>
        <v>0</v>
      </c>
      <c r="AS38" s="159">
        <v>0</v>
      </c>
      <c r="AT38" s="161">
        <v>0</v>
      </c>
      <c r="AU38" s="161">
        <v>0</v>
      </c>
      <c r="AV38" s="161">
        <v>0</v>
      </c>
      <c r="AW38" s="157">
        <f t="shared" si="8"/>
        <v>0</v>
      </c>
      <c r="AX38" s="159">
        <v>0</v>
      </c>
      <c r="AY38" s="161">
        <v>0</v>
      </c>
      <c r="AZ38" s="161">
        <v>0</v>
      </c>
      <c r="BA38" s="161">
        <v>0</v>
      </c>
      <c r="BB38" s="157">
        <f t="shared" si="9"/>
        <v>0</v>
      </c>
      <c r="BC38" s="159">
        <v>0</v>
      </c>
      <c r="BD38" s="161">
        <v>0</v>
      </c>
      <c r="BE38" s="161">
        <v>0</v>
      </c>
      <c r="BF38" s="161">
        <v>0</v>
      </c>
      <c r="BG38" s="157">
        <f t="shared" si="10"/>
        <v>0</v>
      </c>
      <c r="BH38" s="159">
        <v>0</v>
      </c>
      <c r="BI38" s="161">
        <v>0</v>
      </c>
      <c r="BJ38" s="161">
        <v>0</v>
      </c>
      <c r="BK38" s="161">
        <v>0</v>
      </c>
      <c r="BL38" s="157">
        <f t="shared" si="11"/>
        <v>0</v>
      </c>
      <c r="BM38" s="159">
        <v>0</v>
      </c>
      <c r="BN38" s="161">
        <v>0</v>
      </c>
      <c r="BO38" s="161">
        <v>0</v>
      </c>
      <c r="BP38" s="161">
        <v>0</v>
      </c>
      <c r="BQ38" s="157">
        <f t="shared" si="12"/>
        <v>0</v>
      </c>
      <c r="BR38" s="159">
        <f t="shared" si="16"/>
        <v>160606</v>
      </c>
      <c r="BS38" s="337">
        <f t="shared" si="16"/>
        <v>599451</v>
      </c>
      <c r="BT38" s="161">
        <f t="shared" si="16"/>
        <v>1765</v>
      </c>
      <c r="BU38" s="161">
        <f t="shared" si="16"/>
        <v>0</v>
      </c>
      <c r="BV38" s="159">
        <f t="shared" si="2"/>
        <v>761822</v>
      </c>
      <c r="BW38" s="129"/>
      <c r="BX38" s="368">
        <f>(BV38/I38)*100</f>
        <v>47.260308814680172</v>
      </c>
      <c r="BY38" s="280"/>
      <c r="BZ38" s="161"/>
    </row>
    <row r="39" spans="1:78" x14ac:dyDescent="0.2">
      <c r="A39" s="303">
        <v>33</v>
      </c>
      <c r="B39" s="304" t="s">
        <v>259</v>
      </c>
      <c r="D39" s="305"/>
      <c r="E39" s="338">
        <v>864750</v>
      </c>
      <c r="F39" s="337">
        <v>1499200</v>
      </c>
      <c r="G39" s="337">
        <v>20003</v>
      </c>
      <c r="H39" s="337">
        <v>264</v>
      </c>
      <c r="I39" s="157">
        <f t="shared" si="0"/>
        <v>2384217</v>
      </c>
      <c r="J39" s="159">
        <v>44361</v>
      </c>
      <c r="K39" s="161">
        <v>996606</v>
      </c>
      <c r="L39" s="161">
        <v>406</v>
      </c>
      <c r="M39" s="161">
        <v>7</v>
      </c>
      <c r="N39" s="157">
        <f>SUM(J39:M39)</f>
        <v>1041380</v>
      </c>
      <c r="O39" s="161">
        <v>64944</v>
      </c>
      <c r="P39" s="161">
        <v>14664</v>
      </c>
      <c r="Q39" s="161">
        <v>5626</v>
      </c>
      <c r="R39" s="161">
        <v>0</v>
      </c>
      <c r="S39" s="157">
        <f>SUM(O39:R39)</f>
        <v>85234</v>
      </c>
      <c r="T39" s="159">
        <v>37975</v>
      </c>
      <c r="U39" s="161">
        <v>11382</v>
      </c>
      <c r="V39" s="161">
        <v>-2692</v>
      </c>
      <c r="W39" s="161">
        <v>0</v>
      </c>
      <c r="X39" s="157">
        <f t="shared" si="4"/>
        <v>46665</v>
      </c>
      <c r="Y39" s="159">
        <v>92749</v>
      </c>
      <c r="Z39" s="161">
        <v>68112</v>
      </c>
      <c r="AA39" s="161">
        <v>751</v>
      </c>
      <c r="AB39" s="161">
        <v>84</v>
      </c>
      <c r="AC39" s="157">
        <f t="shared" si="5"/>
        <v>161696</v>
      </c>
      <c r="AD39" s="159">
        <v>73183</v>
      </c>
      <c r="AE39" s="161">
        <v>882</v>
      </c>
      <c r="AF39" s="161">
        <v>252</v>
      </c>
      <c r="AG39" s="161">
        <v>0</v>
      </c>
      <c r="AH39" s="157">
        <f>SUM(AD39:AG39)</f>
        <v>74317</v>
      </c>
      <c r="AI39" s="159">
        <v>69083</v>
      </c>
      <c r="AJ39" s="161">
        <v>5568</v>
      </c>
      <c r="AK39" s="161">
        <v>585</v>
      </c>
      <c r="AL39" s="161">
        <v>0</v>
      </c>
      <c r="AM39" s="157">
        <f t="shared" si="7"/>
        <v>75236</v>
      </c>
      <c r="AN39" s="159">
        <v>0</v>
      </c>
      <c r="AO39" s="161">
        <v>0</v>
      </c>
      <c r="AP39" s="161">
        <v>0</v>
      </c>
      <c r="AQ39" s="161">
        <v>0</v>
      </c>
      <c r="AR39" s="157">
        <f t="shared" si="1"/>
        <v>0</v>
      </c>
      <c r="AS39" s="159">
        <v>0</v>
      </c>
      <c r="AT39" s="161">
        <v>0</v>
      </c>
      <c r="AU39" s="161">
        <v>0</v>
      </c>
      <c r="AV39" s="161">
        <v>0</v>
      </c>
      <c r="AW39" s="157">
        <f t="shared" si="8"/>
        <v>0</v>
      </c>
      <c r="AX39" s="159">
        <v>0</v>
      </c>
      <c r="AY39" s="161">
        <v>0</v>
      </c>
      <c r="AZ39" s="161">
        <v>0</v>
      </c>
      <c r="BA39" s="161">
        <v>0</v>
      </c>
      <c r="BB39" s="157">
        <f t="shared" si="9"/>
        <v>0</v>
      </c>
      <c r="BC39" s="159">
        <v>0</v>
      </c>
      <c r="BD39" s="161">
        <v>0</v>
      </c>
      <c r="BE39" s="161">
        <v>0</v>
      </c>
      <c r="BF39" s="161">
        <v>0</v>
      </c>
      <c r="BG39" s="157">
        <f t="shared" si="10"/>
        <v>0</v>
      </c>
      <c r="BH39" s="159">
        <v>0</v>
      </c>
      <c r="BI39" s="161">
        <v>0</v>
      </c>
      <c r="BJ39" s="161">
        <v>0</v>
      </c>
      <c r="BK39" s="161">
        <v>0</v>
      </c>
      <c r="BL39" s="157">
        <f t="shared" si="11"/>
        <v>0</v>
      </c>
      <c r="BM39" s="159">
        <v>0</v>
      </c>
      <c r="BN39" s="161">
        <v>0</v>
      </c>
      <c r="BO39" s="161">
        <v>0</v>
      </c>
      <c r="BP39" s="161">
        <v>0</v>
      </c>
      <c r="BQ39" s="157">
        <f t="shared" si="12"/>
        <v>0</v>
      </c>
      <c r="BR39" s="159">
        <f t="shared" si="16"/>
        <v>382295</v>
      </c>
      <c r="BS39" s="337">
        <f t="shared" si="16"/>
        <v>1097214</v>
      </c>
      <c r="BT39" s="161">
        <f t="shared" si="16"/>
        <v>4928</v>
      </c>
      <c r="BU39" s="161">
        <f t="shared" si="16"/>
        <v>91</v>
      </c>
      <c r="BV39" s="159">
        <f>SUM(BR39:BU39)</f>
        <v>1484528</v>
      </c>
      <c r="BW39" s="129"/>
      <c r="BX39" s="368">
        <f>(BV39/I39)*100</f>
        <v>62.264802239057936</v>
      </c>
      <c r="BY39" s="280"/>
      <c r="BZ39" s="161"/>
    </row>
    <row r="40" spans="1:78" ht="12" customHeight="1" x14ac:dyDescent="0.2">
      <c r="A40" s="303">
        <v>34</v>
      </c>
      <c r="B40" s="281" t="s">
        <v>312</v>
      </c>
      <c r="D40" s="305"/>
      <c r="E40" s="338">
        <v>1658763</v>
      </c>
      <c r="F40" s="337">
        <v>8261472</v>
      </c>
      <c r="G40" s="337">
        <v>11813</v>
      </c>
      <c r="H40" s="337">
        <v>3</v>
      </c>
      <c r="I40" s="157">
        <f t="shared" si="0"/>
        <v>9932051</v>
      </c>
      <c r="J40" s="159">
        <v>114852</v>
      </c>
      <c r="K40" s="161">
        <v>1113915</v>
      </c>
      <c r="L40" s="161">
        <v>0</v>
      </c>
      <c r="M40" s="161">
        <v>0</v>
      </c>
      <c r="N40" s="157">
        <f t="shared" si="14"/>
        <v>1228767</v>
      </c>
      <c r="O40" s="161">
        <v>132340</v>
      </c>
      <c r="P40" s="161">
        <v>365422</v>
      </c>
      <c r="Q40" s="161">
        <v>509</v>
      </c>
      <c r="R40" s="161">
        <v>0</v>
      </c>
      <c r="S40" s="157">
        <f t="shared" si="18"/>
        <v>498271</v>
      </c>
      <c r="T40" s="159">
        <v>129816</v>
      </c>
      <c r="U40" s="161">
        <v>672401</v>
      </c>
      <c r="V40" s="161">
        <v>14</v>
      </c>
      <c r="W40" s="161">
        <v>3</v>
      </c>
      <c r="X40" s="157">
        <f t="shared" si="4"/>
        <v>802234</v>
      </c>
      <c r="Y40" s="159">
        <v>141324</v>
      </c>
      <c r="Z40" s="161">
        <v>705406</v>
      </c>
      <c r="AA40" s="161">
        <v>163</v>
      </c>
      <c r="AB40" s="161">
        <v>0</v>
      </c>
      <c r="AC40" s="157">
        <f t="shared" si="5"/>
        <v>846893</v>
      </c>
      <c r="AD40" s="159">
        <v>130851</v>
      </c>
      <c r="AE40" s="161">
        <v>328117</v>
      </c>
      <c r="AF40" s="161">
        <v>-52</v>
      </c>
      <c r="AG40" s="161">
        <v>0</v>
      </c>
      <c r="AH40" s="157">
        <f t="shared" si="6"/>
        <v>458916</v>
      </c>
      <c r="AI40" s="159">
        <v>123023</v>
      </c>
      <c r="AJ40" s="161">
        <v>399167</v>
      </c>
      <c r="AK40" s="161">
        <v>27</v>
      </c>
      <c r="AL40" s="161">
        <v>0</v>
      </c>
      <c r="AM40" s="157">
        <f t="shared" si="7"/>
        <v>522217</v>
      </c>
      <c r="AN40" s="159">
        <v>0</v>
      </c>
      <c r="AO40" s="161">
        <v>0</v>
      </c>
      <c r="AP40" s="161">
        <v>0</v>
      </c>
      <c r="AQ40" s="161">
        <v>0</v>
      </c>
      <c r="AR40" s="157">
        <f t="shared" si="1"/>
        <v>0</v>
      </c>
      <c r="AS40" s="159">
        <v>0</v>
      </c>
      <c r="AT40" s="161">
        <v>0</v>
      </c>
      <c r="AU40" s="161">
        <v>0</v>
      </c>
      <c r="AV40" s="161">
        <v>0</v>
      </c>
      <c r="AW40" s="157">
        <f t="shared" si="8"/>
        <v>0</v>
      </c>
      <c r="AX40" s="159">
        <v>0</v>
      </c>
      <c r="AY40" s="161">
        <v>0</v>
      </c>
      <c r="AZ40" s="161">
        <v>0</v>
      </c>
      <c r="BA40" s="161">
        <v>0</v>
      </c>
      <c r="BB40" s="157">
        <f t="shared" si="9"/>
        <v>0</v>
      </c>
      <c r="BC40" s="159">
        <v>0</v>
      </c>
      <c r="BD40" s="161">
        <v>0</v>
      </c>
      <c r="BE40" s="161">
        <v>0</v>
      </c>
      <c r="BF40" s="161">
        <v>0</v>
      </c>
      <c r="BG40" s="157">
        <f t="shared" si="10"/>
        <v>0</v>
      </c>
      <c r="BH40" s="159">
        <v>0</v>
      </c>
      <c r="BI40" s="161">
        <v>0</v>
      </c>
      <c r="BJ40" s="161">
        <v>0</v>
      </c>
      <c r="BK40" s="161">
        <v>0</v>
      </c>
      <c r="BL40" s="157">
        <f t="shared" si="11"/>
        <v>0</v>
      </c>
      <c r="BM40" s="159">
        <v>0</v>
      </c>
      <c r="BN40" s="161">
        <v>0</v>
      </c>
      <c r="BO40" s="161">
        <v>0</v>
      </c>
      <c r="BP40" s="161">
        <v>0</v>
      </c>
      <c r="BQ40" s="157">
        <f t="shared" si="12"/>
        <v>0</v>
      </c>
      <c r="BR40" s="159">
        <f t="shared" si="16"/>
        <v>772206</v>
      </c>
      <c r="BS40" s="337">
        <f t="shared" si="16"/>
        <v>3584428</v>
      </c>
      <c r="BT40" s="161">
        <f t="shared" si="16"/>
        <v>661</v>
      </c>
      <c r="BU40" s="161">
        <f t="shared" si="16"/>
        <v>3</v>
      </c>
      <c r="BV40" s="159">
        <f t="shared" si="2"/>
        <v>4357298</v>
      </c>
      <c r="BW40" s="129"/>
      <c r="BX40" s="368">
        <f t="shared" si="15"/>
        <v>43.871079598765654</v>
      </c>
      <c r="BY40" s="280"/>
      <c r="BZ40" s="161"/>
    </row>
    <row r="41" spans="1:78" x14ac:dyDescent="0.2">
      <c r="A41" s="303">
        <v>35</v>
      </c>
      <c r="B41" s="304" t="s">
        <v>261</v>
      </c>
      <c r="D41" s="305"/>
      <c r="E41" s="338">
        <v>1278332</v>
      </c>
      <c r="F41" s="337">
        <v>62412100</v>
      </c>
      <c r="G41" s="337">
        <v>9682</v>
      </c>
      <c r="H41" s="337">
        <v>6362</v>
      </c>
      <c r="I41" s="157">
        <f t="shared" si="0"/>
        <v>63706476</v>
      </c>
      <c r="J41" s="159">
        <v>51047</v>
      </c>
      <c r="K41" s="161">
        <v>2750093</v>
      </c>
      <c r="L41" s="161">
        <v>79</v>
      </c>
      <c r="M41" s="161">
        <v>0</v>
      </c>
      <c r="N41" s="157">
        <f t="shared" si="14"/>
        <v>2801219</v>
      </c>
      <c r="O41" s="161">
        <v>83842</v>
      </c>
      <c r="P41" s="161">
        <v>7264640</v>
      </c>
      <c r="Q41" s="161">
        <v>997</v>
      </c>
      <c r="R41" s="161">
        <v>25</v>
      </c>
      <c r="S41" s="157">
        <f t="shared" si="18"/>
        <v>7349504</v>
      </c>
      <c r="T41" s="159">
        <v>99081</v>
      </c>
      <c r="U41" s="161">
        <v>2940710</v>
      </c>
      <c r="V41" s="161">
        <v>294</v>
      </c>
      <c r="W41" s="161">
        <v>0</v>
      </c>
      <c r="X41" s="157">
        <f t="shared" si="4"/>
        <v>3040085</v>
      </c>
      <c r="Y41" s="159">
        <v>71867</v>
      </c>
      <c r="Z41" s="161">
        <v>8264971</v>
      </c>
      <c r="AA41" s="161">
        <v>1115</v>
      </c>
      <c r="AB41" s="161">
        <v>2</v>
      </c>
      <c r="AC41" s="157">
        <f t="shared" si="5"/>
        <v>8337955</v>
      </c>
      <c r="AD41" s="159">
        <v>105110</v>
      </c>
      <c r="AE41" s="161">
        <v>5682722</v>
      </c>
      <c r="AF41" s="161">
        <v>1352</v>
      </c>
      <c r="AG41" s="161">
        <v>8</v>
      </c>
      <c r="AH41" s="157">
        <f>SUM(AD41:AG41)</f>
        <v>5789192</v>
      </c>
      <c r="AI41" s="159">
        <v>66056</v>
      </c>
      <c r="AJ41" s="161">
        <v>2687767</v>
      </c>
      <c r="AK41" s="161">
        <v>1125</v>
      </c>
      <c r="AL41" s="161">
        <v>0</v>
      </c>
      <c r="AM41" s="157">
        <f t="shared" si="7"/>
        <v>2754948</v>
      </c>
      <c r="AN41" s="159">
        <v>0</v>
      </c>
      <c r="AO41" s="161">
        <v>0</v>
      </c>
      <c r="AP41" s="161">
        <v>0</v>
      </c>
      <c r="AQ41" s="161">
        <v>0</v>
      </c>
      <c r="AR41" s="157">
        <f t="shared" si="1"/>
        <v>0</v>
      </c>
      <c r="AS41" s="159">
        <v>0</v>
      </c>
      <c r="AT41" s="161">
        <v>0</v>
      </c>
      <c r="AU41" s="161">
        <v>0</v>
      </c>
      <c r="AV41" s="161">
        <v>0</v>
      </c>
      <c r="AW41" s="157">
        <f t="shared" si="8"/>
        <v>0</v>
      </c>
      <c r="AX41" s="159">
        <v>0</v>
      </c>
      <c r="AY41" s="161">
        <v>0</v>
      </c>
      <c r="AZ41" s="161">
        <v>0</v>
      </c>
      <c r="BA41" s="161">
        <v>0</v>
      </c>
      <c r="BB41" s="157">
        <f t="shared" si="9"/>
        <v>0</v>
      </c>
      <c r="BC41" s="159">
        <v>0</v>
      </c>
      <c r="BD41" s="161">
        <v>0</v>
      </c>
      <c r="BE41" s="161">
        <v>0</v>
      </c>
      <c r="BF41" s="161">
        <v>0</v>
      </c>
      <c r="BG41" s="157">
        <f t="shared" si="10"/>
        <v>0</v>
      </c>
      <c r="BH41" s="159">
        <v>0</v>
      </c>
      <c r="BI41" s="161">
        <v>0</v>
      </c>
      <c r="BJ41" s="161">
        <v>0</v>
      </c>
      <c r="BK41" s="161">
        <v>0</v>
      </c>
      <c r="BL41" s="157">
        <f t="shared" si="11"/>
        <v>0</v>
      </c>
      <c r="BM41" s="159">
        <v>0</v>
      </c>
      <c r="BN41" s="161">
        <v>0</v>
      </c>
      <c r="BO41" s="161">
        <v>0</v>
      </c>
      <c r="BP41" s="161">
        <v>0</v>
      </c>
      <c r="BQ41" s="157">
        <f t="shared" si="12"/>
        <v>0</v>
      </c>
      <c r="BR41" s="159">
        <f t="shared" si="16"/>
        <v>477003</v>
      </c>
      <c r="BS41" s="337">
        <f t="shared" si="16"/>
        <v>29590903</v>
      </c>
      <c r="BT41" s="161">
        <f t="shared" si="16"/>
        <v>4962</v>
      </c>
      <c r="BU41" s="161">
        <f t="shared" si="16"/>
        <v>35</v>
      </c>
      <c r="BV41" s="159">
        <f t="shared" si="2"/>
        <v>30072903</v>
      </c>
      <c r="BW41" s="129"/>
      <c r="BX41" s="368">
        <f t="shared" si="15"/>
        <v>47.205409698065857</v>
      </c>
      <c r="BY41" s="280"/>
      <c r="BZ41" s="161"/>
    </row>
    <row r="42" spans="1:78" x14ac:dyDescent="0.2">
      <c r="A42" s="303">
        <v>36</v>
      </c>
      <c r="B42" s="304" t="s">
        <v>262</v>
      </c>
      <c r="D42" s="305"/>
      <c r="E42" s="338">
        <v>3341788</v>
      </c>
      <c r="F42" s="337">
        <v>9187437</v>
      </c>
      <c r="G42" s="337">
        <v>2425024</v>
      </c>
      <c r="H42" s="337">
        <v>738</v>
      </c>
      <c r="I42" s="157">
        <f t="shared" si="0"/>
        <v>14954987</v>
      </c>
      <c r="J42" s="159">
        <v>222359</v>
      </c>
      <c r="K42" s="161">
        <v>823699</v>
      </c>
      <c r="L42" s="161">
        <v>72483</v>
      </c>
      <c r="M42" s="161">
        <v>484</v>
      </c>
      <c r="N42" s="157">
        <f t="shared" si="14"/>
        <v>1119025</v>
      </c>
      <c r="O42" s="161">
        <v>259052</v>
      </c>
      <c r="P42" s="161">
        <v>10820</v>
      </c>
      <c r="Q42" s="161">
        <v>95915</v>
      </c>
      <c r="R42" s="161">
        <v>6</v>
      </c>
      <c r="S42" s="157">
        <f t="shared" si="18"/>
        <v>365793</v>
      </c>
      <c r="T42" s="159">
        <v>252724</v>
      </c>
      <c r="U42" s="161">
        <v>778268</v>
      </c>
      <c r="V42" s="161">
        <v>68287</v>
      </c>
      <c r="W42" s="161">
        <v>0</v>
      </c>
      <c r="X42" s="157">
        <f t="shared" si="4"/>
        <v>1099279</v>
      </c>
      <c r="Y42" s="159">
        <v>260129</v>
      </c>
      <c r="Z42" s="161">
        <v>8357</v>
      </c>
      <c r="AA42" s="161">
        <v>97860</v>
      </c>
      <c r="AB42" s="161">
        <v>248</v>
      </c>
      <c r="AC42" s="157">
        <f t="shared" si="5"/>
        <v>366594</v>
      </c>
      <c r="AD42" s="159">
        <v>180163</v>
      </c>
      <c r="AE42" s="161">
        <v>1327367</v>
      </c>
      <c r="AF42" s="161">
        <v>104408</v>
      </c>
      <c r="AG42" s="161">
        <v>0</v>
      </c>
      <c r="AH42" s="157">
        <f t="shared" si="6"/>
        <v>1611938</v>
      </c>
      <c r="AI42" s="159">
        <v>287128</v>
      </c>
      <c r="AJ42" s="161">
        <v>971322</v>
      </c>
      <c r="AK42" s="161">
        <v>299821</v>
      </c>
      <c r="AL42" s="161">
        <v>0</v>
      </c>
      <c r="AM42" s="157">
        <f t="shared" si="7"/>
        <v>1558271</v>
      </c>
      <c r="AN42" s="159">
        <v>0</v>
      </c>
      <c r="AO42" s="161">
        <v>0</v>
      </c>
      <c r="AP42" s="161">
        <v>0</v>
      </c>
      <c r="AQ42" s="161">
        <v>0</v>
      </c>
      <c r="AR42" s="157">
        <f t="shared" si="1"/>
        <v>0</v>
      </c>
      <c r="AS42" s="159">
        <v>0</v>
      </c>
      <c r="AT42" s="161">
        <v>0</v>
      </c>
      <c r="AU42" s="161">
        <v>0</v>
      </c>
      <c r="AV42" s="161">
        <v>0</v>
      </c>
      <c r="AW42" s="157">
        <f t="shared" si="8"/>
        <v>0</v>
      </c>
      <c r="AX42" s="159">
        <v>0</v>
      </c>
      <c r="AY42" s="161">
        <v>0</v>
      </c>
      <c r="AZ42" s="161">
        <v>0</v>
      </c>
      <c r="BA42" s="161">
        <v>0</v>
      </c>
      <c r="BB42" s="157">
        <f t="shared" si="9"/>
        <v>0</v>
      </c>
      <c r="BC42" s="159">
        <v>0</v>
      </c>
      <c r="BD42" s="161">
        <v>0</v>
      </c>
      <c r="BE42" s="161">
        <v>0</v>
      </c>
      <c r="BF42" s="161">
        <v>0</v>
      </c>
      <c r="BG42" s="157">
        <f t="shared" si="10"/>
        <v>0</v>
      </c>
      <c r="BH42" s="159">
        <v>0</v>
      </c>
      <c r="BI42" s="161">
        <v>0</v>
      </c>
      <c r="BJ42" s="161">
        <v>0</v>
      </c>
      <c r="BK42" s="161">
        <v>0</v>
      </c>
      <c r="BL42" s="157">
        <f t="shared" si="11"/>
        <v>0</v>
      </c>
      <c r="BM42" s="159">
        <v>0</v>
      </c>
      <c r="BN42" s="161">
        <v>0</v>
      </c>
      <c r="BO42" s="161">
        <v>0</v>
      </c>
      <c r="BP42" s="161">
        <v>0</v>
      </c>
      <c r="BQ42" s="157">
        <f t="shared" si="12"/>
        <v>0</v>
      </c>
      <c r="BR42" s="159">
        <f t="shared" si="16"/>
        <v>1461555</v>
      </c>
      <c r="BS42" s="337">
        <f t="shared" si="16"/>
        <v>3919833</v>
      </c>
      <c r="BT42" s="161">
        <f t="shared" si="16"/>
        <v>738774</v>
      </c>
      <c r="BU42" s="161">
        <f t="shared" si="16"/>
        <v>738</v>
      </c>
      <c r="BV42" s="159">
        <f t="shared" si="2"/>
        <v>6120900</v>
      </c>
      <c r="BW42" s="129"/>
      <c r="BX42" s="368">
        <f>(BV42/I42)*100</f>
        <v>40.928821937458054</v>
      </c>
      <c r="BY42" s="280"/>
      <c r="BZ42" s="161"/>
    </row>
    <row r="43" spans="1:78" x14ac:dyDescent="0.2">
      <c r="A43" s="303">
        <v>37</v>
      </c>
      <c r="B43" s="304" t="s">
        <v>313</v>
      </c>
      <c r="D43" s="305"/>
      <c r="E43" s="338">
        <v>684803</v>
      </c>
      <c r="F43" s="337">
        <v>3624492</v>
      </c>
      <c r="G43" s="337">
        <v>45806</v>
      </c>
      <c r="H43" s="337">
        <v>749</v>
      </c>
      <c r="I43" s="157">
        <f t="shared" si="0"/>
        <v>4355850</v>
      </c>
      <c r="J43" s="159">
        <v>52549</v>
      </c>
      <c r="K43" s="161">
        <v>686320</v>
      </c>
      <c r="L43" s="161">
        <v>370</v>
      </c>
      <c r="M43" s="161">
        <v>0</v>
      </c>
      <c r="N43" s="157">
        <f t="shared" si="14"/>
        <v>739239</v>
      </c>
      <c r="O43" s="161">
        <v>58639</v>
      </c>
      <c r="P43" s="161">
        <v>41198</v>
      </c>
      <c r="Q43" s="161">
        <v>23502</v>
      </c>
      <c r="R43" s="161">
        <v>0</v>
      </c>
      <c r="S43" s="157">
        <f t="shared" si="18"/>
        <v>123339</v>
      </c>
      <c r="T43" s="159">
        <v>55510</v>
      </c>
      <c r="U43" s="161">
        <v>23937</v>
      </c>
      <c r="V43" s="161">
        <v>1516</v>
      </c>
      <c r="W43" s="161">
        <v>0</v>
      </c>
      <c r="X43" s="157">
        <f t="shared" si="4"/>
        <v>80963</v>
      </c>
      <c r="Y43" s="159">
        <v>46245</v>
      </c>
      <c r="Z43" s="161">
        <v>652664</v>
      </c>
      <c r="AA43" s="161">
        <v>1730</v>
      </c>
      <c r="AB43" s="161">
        <v>0</v>
      </c>
      <c r="AC43" s="157">
        <f t="shared" si="5"/>
        <v>700639</v>
      </c>
      <c r="AD43" s="159">
        <v>50163</v>
      </c>
      <c r="AE43" s="161">
        <v>262113</v>
      </c>
      <c r="AF43" s="161">
        <v>2050</v>
      </c>
      <c r="AG43" s="161">
        <v>23</v>
      </c>
      <c r="AH43" s="157">
        <f t="shared" si="6"/>
        <v>314349</v>
      </c>
      <c r="AI43" s="159">
        <v>47288</v>
      </c>
      <c r="AJ43" s="161">
        <v>26454</v>
      </c>
      <c r="AK43" s="161">
        <v>157</v>
      </c>
      <c r="AL43" s="161">
        <v>7</v>
      </c>
      <c r="AM43" s="157">
        <f t="shared" si="7"/>
        <v>73906</v>
      </c>
      <c r="AN43" s="159">
        <v>0</v>
      </c>
      <c r="AO43" s="161">
        <v>0</v>
      </c>
      <c r="AP43" s="161">
        <v>0</v>
      </c>
      <c r="AQ43" s="161">
        <v>0</v>
      </c>
      <c r="AR43" s="157">
        <f t="shared" si="1"/>
        <v>0</v>
      </c>
      <c r="AS43" s="159">
        <v>0</v>
      </c>
      <c r="AT43" s="161">
        <v>0</v>
      </c>
      <c r="AU43" s="161">
        <v>0</v>
      </c>
      <c r="AV43" s="161">
        <v>0</v>
      </c>
      <c r="AW43" s="157">
        <f t="shared" si="8"/>
        <v>0</v>
      </c>
      <c r="AX43" s="159">
        <v>0</v>
      </c>
      <c r="AY43" s="161">
        <v>0</v>
      </c>
      <c r="AZ43" s="161">
        <v>0</v>
      </c>
      <c r="BA43" s="161">
        <v>0</v>
      </c>
      <c r="BB43" s="157">
        <f t="shared" si="9"/>
        <v>0</v>
      </c>
      <c r="BC43" s="159">
        <v>0</v>
      </c>
      <c r="BD43" s="161">
        <v>0</v>
      </c>
      <c r="BE43" s="161">
        <v>0</v>
      </c>
      <c r="BF43" s="161">
        <v>0</v>
      </c>
      <c r="BG43" s="157">
        <f t="shared" si="10"/>
        <v>0</v>
      </c>
      <c r="BH43" s="159">
        <v>0</v>
      </c>
      <c r="BI43" s="161">
        <v>0</v>
      </c>
      <c r="BJ43" s="161">
        <v>0</v>
      </c>
      <c r="BK43" s="161">
        <v>0</v>
      </c>
      <c r="BL43" s="157">
        <f t="shared" si="11"/>
        <v>0</v>
      </c>
      <c r="BM43" s="159">
        <v>0</v>
      </c>
      <c r="BN43" s="161">
        <v>0</v>
      </c>
      <c r="BO43" s="161">
        <v>0</v>
      </c>
      <c r="BP43" s="161">
        <v>0</v>
      </c>
      <c r="BQ43" s="157">
        <f>SUM(BM43:BP43)</f>
        <v>0</v>
      </c>
      <c r="BR43" s="159">
        <f t="shared" si="16"/>
        <v>310394</v>
      </c>
      <c r="BS43" s="337">
        <f t="shared" si="16"/>
        <v>1692686</v>
      </c>
      <c r="BT43" s="161">
        <f t="shared" si="16"/>
        <v>29325</v>
      </c>
      <c r="BU43" s="161">
        <f t="shared" si="16"/>
        <v>30</v>
      </c>
      <c r="BV43" s="159">
        <f>SUM(BR43:BU43)</f>
        <v>2032435</v>
      </c>
      <c r="BW43" s="129"/>
      <c r="BX43" s="368">
        <f>(BV43/I43)*100</f>
        <v>46.659894165317908</v>
      </c>
      <c r="BY43" s="280"/>
      <c r="BZ43" s="161"/>
    </row>
    <row r="44" spans="1:78" x14ac:dyDescent="0.2">
      <c r="A44" s="303">
        <v>38</v>
      </c>
      <c r="B44" s="304" t="s">
        <v>254</v>
      </c>
      <c r="D44" s="305"/>
      <c r="E44" s="338">
        <v>721621</v>
      </c>
      <c r="F44" s="337">
        <v>32560142</v>
      </c>
      <c r="G44" s="337">
        <v>5859</v>
      </c>
      <c r="H44" s="337">
        <v>50162</v>
      </c>
      <c r="I44" s="157">
        <f t="shared" si="0"/>
        <v>33337784</v>
      </c>
      <c r="J44" s="159">
        <v>48090</v>
      </c>
      <c r="K44" s="161">
        <v>970151</v>
      </c>
      <c r="L44" s="161">
        <v>958</v>
      </c>
      <c r="M44" s="161">
        <v>0</v>
      </c>
      <c r="N44" s="157">
        <f t="shared" si="14"/>
        <v>1019199</v>
      </c>
      <c r="O44" s="161">
        <v>60539</v>
      </c>
      <c r="P44" s="161">
        <v>1909703</v>
      </c>
      <c r="Q44" s="161">
        <v>153</v>
      </c>
      <c r="R44" s="161">
        <v>50071</v>
      </c>
      <c r="S44" s="157">
        <f t="shared" si="18"/>
        <v>2020466</v>
      </c>
      <c r="T44" s="159">
        <v>49155</v>
      </c>
      <c r="U44" s="161">
        <v>2014353</v>
      </c>
      <c r="V44" s="161">
        <v>232</v>
      </c>
      <c r="W44" s="161">
        <v>0</v>
      </c>
      <c r="X44" s="157">
        <f t="shared" si="4"/>
        <v>2063740</v>
      </c>
      <c r="Y44" s="159">
        <v>57857</v>
      </c>
      <c r="Z44" s="161">
        <v>4310160</v>
      </c>
      <c r="AA44" s="161">
        <v>294</v>
      </c>
      <c r="AB44" s="161">
        <v>34</v>
      </c>
      <c r="AC44" s="157">
        <f t="shared" si="5"/>
        <v>4368345</v>
      </c>
      <c r="AD44" s="159">
        <v>50992</v>
      </c>
      <c r="AE44" s="161">
        <v>1653962</v>
      </c>
      <c r="AF44" s="161">
        <v>335</v>
      </c>
      <c r="AG44" s="161">
        <v>37</v>
      </c>
      <c r="AH44" s="157">
        <f t="shared" si="6"/>
        <v>1705326</v>
      </c>
      <c r="AI44" s="159">
        <v>53384</v>
      </c>
      <c r="AJ44" s="161">
        <v>1726776</v>
      </c>
      <c r="AK44" s="161">
        <v>637</v>
      </c>
      <c r="AL44" s="161">
        <v>0</v>
      </c>
      <c r="AM44" s="157">
        <f t="shared" si="7"/>
        <v>1780797</v>
      </c>
      <c r="AN44" s="159">
        <v>0</v>
      </c>
      <c r="AO44" s="161">
        <v>0</v>
      </c>
      <c r="AP44" s="161">
        <v>0</v>
      </c>
      <c r="AQ44" s="161">
        <v>0</v>
      </c>
      <c r="AR44" s="157">
        <f t="shared" si="1"/>
        <v>0</v>
      </c>
      <c r="AS44" s="159">
        <v>0</v>
      </c>
      <c r="AT44" s="161">
        <v>0</v>
      </c>
      <c r="AU44" s="161">
        <v>0</v>
      </c>
      <c r="AV44" s="161">
        <v>0</v>
      </c>
      <c r="AW44" s="157">
        <f t="shared" si="8"/>
        <v>0</v>
      </c>
      <c r="AX44" s="159">
        <v>0</v>
      </c>
      <c r="AY44" s="161">
        <v>0</v>
      </c>
      <c r="AZ44" s="161">
        <v>0</v>
      </c>
      <c r="BA44" s="161">
        <v>0</v>
      </c>
      <c r="BB44" s="157">
        <f t="shared" si="9"/>
        <v>0</v>
      </c>
      <c r="BC44" s="159">
        <v>0</v>
      </c>
      <c r="BD44" s="161">
        <v>0</v>
      </c>
      <c r="BE44" s="161">
        <v>0</v>
      </c>
      <c r="BF44" s="161">
        <v>0</v>
      </c>
      <c r="BG44" s="157">
        <f t="shared" si="10"/>
        <v>0</v>
      </c>
      <c r="BH44" s="159">
        <v>0</v>
      </c>
      <c r="BI44" s="161">
        <v>0</v>
      </c>
      <c r="BJ44" s="161">
        <v>0</v>
      </c>
      <c r="BK44" s="161">
        <v>0</v>
      </c>
      <c r="BL44" s="157">
        <f t="shared" si="11"/>
        <v>0</v>
      </c>
      <c r="BM44" s="159">
        <v>0</v>
      </c>
      <c r="BN44" s="161">
        <v>0</v>
      </c>
      <c r="BO44" s="161">
        <v>0</v>
      </c>
      <c r="BP44" s="161">
        <v>0</v>
      </c>
      <c r="BQ44" s="157">
        <f>SUM(BM44:BP44)</f>
        <v>0</v>
      </c>
      <c r="BR44" s="159">
        <f t="shared" si="16"/>
        <v>320017</v>
      </c>
      <c r="BS44" s="337">
        <f t="shared" si="16"/>
        <v>12585105</v>
      </c>
      <c r="BT44" s="161">
        <f t="shared" si="16"/>
        <v>2609</v>
      </c>
      <c r="BU44" s="161">
        <f t="shared" si="16"/>
        <v>50142</v>
      </c>
      <c r="BV44" s="159">
        <f t="shared" si="2"/>
        <v>12957873</v>
      </c>
      <c r="BW44" s="129"/>
      <c r="BX44" s="368">
        <f>(BV44/I44)*100</f>
        <v>38.868429287321554</v>
      </c>
      <c r="BY44" s="280"/>
      <c r="BZ44" s="161"/>
    </row>
    <row r="45" spans="1:78" x14ac:dyDescent="0.2">
      <c r="A45" s="303">
        <v>39</v>
      </c>
      <c r="B45" s="304" t="s">
        <v>314</v>
      </c>
      <c r="D45" s="305"/>
      <c r="E45" s="338">
        <v>4621824</v>
      </c>
      <c r="F45" s="337">
        <v>5508928</v>
      </c>
      <c r="G45" s="337">
        <v>688076</v>
      </c>
      <c r="H45" s="337">
        <v>7259</v>
      </c>
      <c r="I45" s="157">
        <f t="shared" si="0"/>
        <v>10826087</v>
      </c>
      <c r="J45" s="159">
        <v>295601</v>
      </c>
      <c r="K45" s="161">
        <v>816400</v>
      </c>
      <c r="L45" s="161">
        <v>19695</v>
      </c>
      <c r="M45" s="161">
        <v>0</v>
      </c>
      <c r="N45" s="157">
        <f t="shared" si="14"/>
        <v>1131696</v>
      </c>
      <c r="O45" s="161">
        <v>348996</v>
      </c>
      <c r="P45" s="161">
        <v>216624</v>
      </c>
      <c r="Q45" s="161">
        <v>31997</v>
      </c>
      <c r="R45" s="161">
        <v>0</v>
      </c>
      <c r="S45" s="157">
        <f t="shared" si="18"/>
        <v>597617</v>
      </c>
      <c r="T45" s="159">
        <v>295796</v>
      </c>
      <c r="U45" s="161">
        <v>141884</v>
      </c>
      <c r="V45" s="161">
        <v>38590</v>
      </c>
      <c r="W45" s="161">
        <v>0</v>
      </c>
      <c r="X45" s="157">
        <f t="shared" si="4"/>
        <v>476270</v>
      </c>
      <c r="Y45" s="159">
        <v>410097</v>
      </c>
      <c r="Z45" s="161">
        <v>606567</v>
      </c>
      <c r="AA45" s="161">
        <v>53873</v>
      </c>
      <c r="AB45" s="161">
        <v>0</v>
      </c>
      <c r="AC45" s="157">
        <f t="shared" si="5"/>
        <v>1070537</v>
      </c>
      <c r="AD45" s="159">
        <v>362701</v>
      </c>
      <c r="AE45" s="161">
        <v>220199</v>
      </c>
      <c r="AF45" s="161">
        <v>32348</v>
      </c>
      <c r="AG45" s="161">
        <v>53</v>
      </c>
      <c r="AH45" s="157">
        <f t="shared" si="6"/>
        <v>615301</v>
      </c>
      <c r="AI45" s="159">
        <v>372929</v>
      </c>
      <c r="AJ45" s="161">
        <v>76154</v>
      </c>
      <c r="AK45" s="161">
        <v>43177</v>
      </c>
      <c r="AL45" s="161">
        <v>0</v>
      </c>
      <c r="AM45" s="157">
        <f t="shared" si="7"/>
        <v>492260</v>
      </c>
      <c r="AN45" s="159">
        <v>0</v>
      </c>
      <c r="AO45" s="161">
        <v>0</v>
      </c>
      <c r="AP45" s="161">
        <v>0</v>
      </c>
      <c r="AQ45" s="161">
        <v>0</v>
      </c>
      <c r="AR45" s="157">
        <f t="shared" si="1"/>
        <v>0</v>
      </c>
      <c r="AS45" s="159">
        <v>0</v>
      </c>
      <c r="AT45" s="161">
        <v>0</v>
      </c>
      <c r="AU45" s="161">
        <v>0</v>
      </c>
      <c r="AV45" s="161">
        <v>0</v>
      </c>
      <c r="AW45" s="157">
        <f t="shared" si="8"/>
        <v>0</v>
      </c>
      <c r="AX45" s="159">
        <v>0</v>
      </c>
      <c r="AY45" s="161">
        <v>0</v>
      </c>
      <c r="AZ45" s="161">
        <v>0</v>
      </c>
      <c r="BA45" s="161">
        <v>0</v>
      </c>
      <c r="BB45" s="157">
        <f t="shared" si="9"/>
        <v>0</v>
      </c>
      <c r="BC45" s="159">
        <v>0</v>
      </c>
      <c r="BD45" s="161">
        <v>0</v>
      </c>
      <c r="BE45" s="161">
        <v>0</v>
      </c>
      <c r="BF45" s="161">
        <v>0</v>
      </c>
      <c r="BG45" s="157">
        <f t="shared" si="10"/>
        <v>0</v>
      </c>
      <c r="BH45" s="159">
        <v>0</v>
      </c>
      <c r="BI45" s="161">
        <v>0</v>
      </c>
      <c r="BJ45" s="161">
        <v>0</v>
      </c>
      <c r="BK45" s="161">
        <v>0</v>
      </c>
      <c r="BL45" s="157">
        <f t="shared" si="11"/>
        <v>0</v>
      </c>
      <c r="BM45" s="159">
        <v>0</v>
      </c>
      <c r="BN45" s="161">
        <v>0</v>
      </c>
      <c r="BO45" s="161">
        <v>0</v>
      </c>
      <c r="BP45" s="161">
        <v>0</v>
      </c>
      <c r="BQ45" s="157">
        <f t="shared" si="12"/>
        <v>0</v>
      </c>
      <c r="BR45" s="159">
        <f t="shared" si="16"/>
        <v>2086120</v>
      </c>
      <c r="BS45" s="337">
        <f t="shared" si="16"/>
        <v>2077828</v>
      </c>
      <c r="BT45" s="161">
        <f t="shared" si="16"/>
        <v>219680</v>
      </c>
      <c r="BU45" s="161">
        <f t="shared" si="16"/>
        <v>53</v>
      </c>
      <c r="BV45" s="159">
        <f t="shared" si="2"/>
        <v>4383681</v>
      </c>
      <c r="BW45" s="129"/>
      <c r="BX45" s="368">
        <f t="shared" si="15"/>
        <v>40.491832367502681</v>
      </c>
      <c r="BY45" s="280"/>
      <c r="BZ45" s="161"/>
    </row>
    <row r="46" spans="1:78" x14ac:dyDescent="0.2">
      <c r="A46" s="342">
        <v>40</v>
      </c>
      <c r="B46" s="369" t="s">
        <v>315</v>
      </c>
      <c r="C46" s="369"/>
      <c r="D46" s="319"/>
      <c r="E46" s="338">
        <v>265285</v>
      </c>
      <c r="F46" s="337">
        <v>855648</v>
      </c>
      <c r="G46" s="337">
        <v>2922</v>
      </c>
      <c r="H46" s="337">
        <v>94</v>
      </c>
      <c r="I46" s="157">
        <f t="shared" si="0"/>
        <v>1123949</v>
      </c>
      <c r="J46" s="159">
        <v>16922</v>
      </c>
      <c r="K46" s="161">
        <v>6459</v>
      </c>
      <c r="L46" s="161">
        <v>95</v>
      </c>
      <c r="M46" s="161">
        <v>0</v>
      </c>
      <c r="N46" s="157">
        <f t="shared" si="14"/>
        <v>23476</v>
      </c>
      <c r="O46" s="161">
        <v>19126</v>
      </c>
      <c r="P46" s="161">
        <v>196</v>
      </c>
      <c r="Q46" s="161">
        <v>26</v>
      </c>
      <c r="R46" s="161">
        <v>0</v>
      </c>
      <c r="S46" s="157">
        <f t="shared" si="18"/>
        <v>19348</v>
      </c>
      <c r="T46" s="159">
        <v>18356</v>
      </c>
      <c r="U46" s="161">
        <v>159594</v>
      </c>
      <c r="V46" s="161">
        <v>179</v>
      </c>
      <c r="W46" s="161">
        <v>0</v>
      </c>
      <c r="X46" s="157">
        <f t="shared" si="4"/>
        <v>178129</v>
      </c>
      <c r="Y46" s="159">
        <v>13452</v>
      </c>
      <c r="Z46" s="161">
        <v>208</v>
      </c>
      <c r="AA46" s="161">
        <v>44</v>
      </c>
      <c r="AB46" s="161">
        <v>0</v>
      </c>
      <c r="AC46" s="157">
        <f t="shared" si="5"/>
        <v>13704</v>
      </c>
      <c r="AD46" s="159">
        <v>34106</v>
      </c>
      <c r="AE46" s="161">
        <v>30178</v>
      </c>
      <c r="AF46" s="161">
        <v>3</v>
      </c>
      <c r="AG46" s="161">
        <v>0</v>
      </c>
      <c r="AH46" s="157">
        <f t="shared" si="6"/>
        <v>64287</v>
      </c>
      <c r="AI46" s="159">
        <v>12358</v>
      </c>
      <c r="AJ46" s="161">
        <v>191887</v>
      </c>
      <c r="AK46" s="161">
        <v>27</v>
      </c>
      <c r="AL46" s="161">
        <v>0</v>
      </c>
      <c r="AM46" s="157">
        <f t="shared" si="7"/>
        <v>204272</v>
      </c>
      <c r="AN46" s="159">
        <v>0</v>
      </c>
      <c r="AO46" s="161">
        <v>0</v>
      </c>
      <c r="AP46" s="161">
        <v>0</v>
      </c>
      <c r="AQ46" s="161">
        <v>0</v>
      </c>
      <c r="AR46" s="157">
        <f>SUM(AN46:AQ46)</f>
        <v>0</v>
      </c>
      <c r="AS46" s="159">
        <v>0</v>
      </c>
      <c r="AT46" s="161">
        <v>0</v>
      </c>
      <c r="AU46" s="161">
        <v>0</v>
      </c>
      <c r="AV46" s="161">
        <v>0</v>
      </c>
      <c r="AW46" s="157">
        <f t="shared" si="8"/>
        <v>0</v>
      </c>
      <c r="AX46" s="159">
        <v>0</v>
      </c>
      <c r="AY46" s="161">
        <v>0</v>
      </c>
      <c r="AZ46" s="161">
        <v>0</v>
      </c>
      <c r="BA46" s="161">
        <v>0</v>
      </c>
      <c r="BB46" s="157">
        <f t="shared" si="9"/>
        <v>0</v>
      </c>
      <c r="BC46" s="159">
        <v>0</v>
      </c>
      <c r="BD46" s="161">
        <v>0</v>
      </c>
      <c r="BE46" s="161">
        <v>0</v>
      </c>
      <c r="BF46" s="161">
        <v>0</v>
      </c>
      <c r="BG46" s="157">
        <f t="shared" si="10"/>
        <v>0</v>
      </c>
      <c r="BH46" s="159">
        <v>0</v>
      </c>
      <c r="BI46" s="161">
        <v>0</v>
      </c>
      <c r="BJ46" s="161">
        <v>0</v>
      </c>
      <c r="BK46" s="161">
        <v>0</v>
      </c>
      <c r="BL46" s="157">
        <f t="shared" si="11"/>
        <v>0</v>
      </c>
      <c r="BM46" s="159">
        <v>0</v>
      </c>
      <c r="BN46" s="161">
        <v>0</v>
      </c>
      <c r="BO46" s="370">
        <v>0</v>
      </c>
      <c r="BP46" s="161">
        <v>0</v>
      </c>
      <c r="BQ46" s="157">
        <f t="shared" si="12"/>
        <v>0</v>
      </c>
      <c r="BR46" s="159">
        <f t="shared" si="16"/>
        <v>114320</v>
      </c>
      <c r="BS46" s="337">
        <f t="shared" si="16"/>
        <v>388522</v>
      </c>
      <c r="BT46" s="161">
        <f t="shared" si="16"/>
        <v>374</v>
      </c>
      <c r="BU46" s="161">
        <f t="shared" si="16"/>
        <v>0</v>
      </c>
      <c r="BV46" s="159">
        <f t="shared" si="2"/>
        <v>503216</v>
      </c>
      <c r="BW46" s="129"/>
      <c r="BX46" s="368">
        <f t="shared" si="15"/>
        <v>44.772138237589068</v>
      </c>
      <c r="BY46" s="280"/>
      <c r="BZ46" s="161"/>
    </row>
    <row r="47" spans="1:78" x14ac:dyDescent="0.2">
      <c r="A47" s="371" t="s">
        <v>263</v>
      </c>
      <c r="B47" s="304"/>
      <c r="D47" s="320"/>
      <c r="E47" s="153">
        <f t="shared" ref="E47:J47" si="19">SUM(E7:E46)</f>
        <v>241301656</v>
      </c>
      <c r="F47" s="152">
        <f t="shared" si="19"/>
        <v>626614172</v>
      </c>
      <c r="G47" s="152">
        <f t="shared" si="19"/>
        <v>11702183</v>
      </c>
      <c r="H47" s="152">
        <f t="shared" si="19"/>
        <v>64213311</v>
      </c>
      <c r="I47" s="135">
        <f t="shared" si="19"/>
        <v>943831322</v>
      </c>
      <c r="J47" s="153">
        <f t="shared" si="19"/>
        <v>17419897</v>
      </c>
      <c r="K47" s="152">
        <f>SUM(K7:K46)</f>
        <v>58376647</v>
      </c>
      <c r="L47" s="152">
        <f t="shared" ref="L47:AB47" si="20">SUM(L7:L46)</f>
        <v>362073</v>
      </c>
      <c r="M47" s="152">
        <f t="shared" si="20"/>
        <v>2125</v>
      </c>
      <c r="N47" s="135">
        <f>SUM(N7:N46)</f>
        <v>76160742</v>
      </c>
      <c r="O47" s="152">
        <f>SUM(O7:O46)</f>
        <v>18816680</v>
      </c>
      <c r="P47" s="152">
        <f t="shared" si="20"/>
        <v>46735572</v>
      </c>
      <c r="Q47" s="152">
        <f t="shared" si="20"/>
        <v>582691</v>
      </c>
      <c r="R47" s="152">
        <f t="shared" si="20"/>
        <v>51556</v>
      </c>
      <c r="S47" s="135">
        <f>SUM(S7:S46)</f>
        <v>66186499</v>
      </c>
      <c r="T47" s="153">
        <f t="shared" si="20"/>
        <v>18927123</v>
      </c>
      <c r="U47" s="152">
        <f t="shared" si="20"/>
        <v>40054108</v>
      </c>
      <c r="V47" s="152">
        <f t="shared" si="20"/>
        <v>553754</v>
      </c>
      <c r="W47" s="152">
        <f t="shared" si="20"/>
        <v>-30</v>
      </c>
      <c r="X47" s="135">
        <f>SUM(X7:X46)</f>
        <v>59534955</v>
      </c>
      <c r="Y47" s="153">
        <f t="shared" si="20"/>
        <v>20136950</v>
      </c>
      <c r="Z47" s="152">
        <f t="shared" si="20"/>
        <v>80697705</v>
      </c>
      <c r="AA47" s="152">
        <f t="shared" si="20"/>
        <v>714762</v>
      </c>
      <c r="AB47" s="152">
        <f t="shared" si="20"/>
        <v>2447</v>
      </c>
      <c r="AC47" s="135">
        <f>SUM(AC7:AC46)</f>
        <v>101551864</v>
      </c>
      <c r="AD47" s="153">
        <f t="shared" ref="AD47:AL47" si="21">SUM(AD7:AD46)</f>
        <v>19206769</v>
      </c>
      <c r="AE47" s="152">
        <f t="shared" si="21"/>
        <v>50967096</v>
      </c>
      <c r="AF47" s="152">
        <f t="shared" si="21"/>
        <v>844913</v>
      </c>
      <c r="AG47" s="152">
        <f t="shared" si="21"/>
        <v>2116</v>
      </c>
      <c r="AH47" s="135">
        <f>SUM(AH7:AH46)</f>
        <v>71020894</v>
      </c>
      <c r="AI47" s="153">
        <f t="shared" si="21"/>
        <v>19341077</v>
      </c>
      <c r="AJ47" s="152">
        <f t="shared" si="21"/>
        <v>33901185</v>
      </c>
      <c r="AK47" s="152">
        <f t="shared" si="21"/>
        <v>853464</v>
      </c>
      <c r="AL47" s="152">
        <f t="shared" si="21"/>
        <v>13502173</v>
      </c>
      <c r="AM47" s="135">
        <f t="shared" ref="AM47:AV47" si="22">SUM(AM7:AM46)</f>
        <v>67597899</v>
      </c>
      <c r="AN47" s="153">
        <f>SUM(AN7:AN46)</f>
        <v>0</v>
      </c>
      <c r="AO47" s="152">
        <f>SUM(AO7:AO46)</f>
        <v>0</v>
      </c>
      <c r="AP47" s="152">
        <f>SUM(AP7:AP46)</f>
        <v>0</v>
      </c>
      <c r="AQ47" s="152">
        <f>SUM(AQ7:AQ46)</f>
        <v>0</v>
      </c>
      <c r="AR47" s="135">
        <f>SUM(AR7:AR46)</f>
        <v>0</v>
      </c>
      <c r="AS47" s="153">
        <f t="shared" si="22"/>
        <v>0</v>
      </c>
      <c r="AT47" s="152">
        <f t="shared" si="22"/>
        <v>0</v>
      </c>
      <c r="AU47" s="152">
        <f t="shared" si="22"/>
        <v>0</v>
      </c>
      <c r="AV47" s="152">
        <f t="shared" si="22"/>
        <v>0</v>
      </c>
      <c r="AW47" s="135">
        <f t="shared" ref="AW47:BU47" si="23">SUM(AW7:AW46)</f>
        <v>0</v>
      </c>
      <c r="AX47" s="153">
        <f>SUM(AX7:AX46)</f>
        <v>0</v>
      </c>
      <c r="AY47" s="152">
        <f t="shared" si="23"/>
        <v>0</v>
      </c>
      <c r="AZ47" s="152">
        <f t="shared" si="23"/>
        <v>0</v>
      </c>
      <c r="BA47" s="152">
        <f t="shared" si="23"/>
        <v>0</v>
      </c>
      <c r="BB47" s="135">
        <f>SUM(BB7:BB46)</f>
        <v>0</v>
      </c>
      <c r="BC47" s="153">
        <f t="shared" si="23"/>
        <v>0</v>
      </c>
      <c r="BD47" s="152">
        <f t="shared" si="23"/>
        <v>0</v>
      </c>
      <c r="BE47" s="152">
        <f t="shared" si="23"/>
        <v>0</v>
      </c>
      <c r="BF47" s="152">
        <f>SUM(BF7:BF46)</f>
        <v>0</v>
      </c>
      <c r="BG47" s="135">
        <f>SUM(BG7:BG46)</f>
        <v>0</v>
      </c>
      <c r="BH47" s="153">
        <f t="shared" si="23"/>
        <v>0</v>
      </c>
      <c r="BI47" s="152">
        <f t="shared" si="23"/>
        <v>0</v>
      </c>
      <c r="BJ47" s="152">
        <f t="shared" si="23"/>
        <v>0</v>
      </c>
      <c r="BK47" s="152">
        <f t="shared" si="23"/>
        <v>0</v>
      </c>
      <c r="BL47" s="135">
        <f t="shared" si="23"/>
        <v>0</v>
      </c>
      <c r="BM47" s="153">
        <f t="shared" si="23"/>
        <v>0</v>
      </c>
      <c r="BN47" s="152">
        <f t="shared" si="23"/>
        <v>0</v>
      </c>
      <c r="BO47" s="152">
        <f t="shared" si="23"/>
        <v>0</v>
      </c>
      <c r="BP47" s="152">
        <f t="shared" si="23"/>
        <v>0</v>
      </c>
      <c r="BQ47" s="135">
        <f t="shared" si="23"/>
        <v>0</v>
      </c>
      <c r="BR47" s="153">
        <f t="shared" si="23"/>
        <v>113848496</v>
      </c>
      <c r="BS47" s="152">
        <f t="shared" si="23"/>
        <v>310732313</v>
      </c>
      <c r="BT47" s="152">
        <f t="shared" si="23"/>
        <v>3911657</v>
      </c>
      <c r="BU47" s="152">
        <f t="shared" si="23"/>
        <v>13560387</v>
      </c>
      <c r="BV47" s="135">
        <f>SUM(BV7:BV46)</f>
        <v>442052853</v>
      </c>
      <c r="BW47" s="129"/>
      <c r="BX47" s="368">
        <f t="shared" si="15"/>
        <v>46.836001592242141</v>
      </c>
      <c r="BY47" s="280"/>
      <c r="BZ47" s="161"/>
    </row>
    <row r="48" spans="1:78" x14ac:dyDescent="0.2">
      <c r="A48" s="322" t="s">
        <v>264</v>
      </c>
      <c r="B48" s="304"/>
      <c r="D48" s="320"/>
      <c r="E48" s="170"/>
      <c r="F48" s="137"/>
      <c r="G48" s="137"/>
      <c r="H48" s="137"/>
      <c r="I48" s="171"/>
      <c r="J48" s="170"/>
      <c r="K48" s="137"/>
      <c r="L48" s="137"/>
      <c r="M48" s="137"/>
      <c r="N48" s="171"/>
      <c r="O48" s="137"/>
      <c r="P48" s="137"/>
      <c r="Q48" s="137"/>
      <c r="R48" s="137"/>
      <c r="S48" s="171"/>
      <c r="T48" s="170"/>
      <c r="U48" s="137"/>
      <c r="V48" s="137"/>
      <c r="W48" s="137"/>
      <c r="X48" s="171"/>
      <c r="Y48" s="170"/>
      <c r="Z48" s="137"/>
      <c r="AA48" s="137"/>
      <c r="AB48" s="137"/>
      <c r="AC48" s="171"/>
      <c r="AD48" s="170"/>
      <c r="AE48" s="137"/>
      <c r="AF48" s="137"/>
      <c r="AG48" s="137"/>
      <c r="AH48" s="171"/>
      <c r="AI48" s="170"/>
      <c r="AJ48" s="137"/>
      <c r="AK48" s="137"/>
      <c r="AL48" s="137"/>
      <c r="AM48" s="171"/>
      <c r="AN48" s="170"/>
      <c r="AO48" s="137"/>
      <c r="AP48" s="137"/>
      <c r="AQ48" s="137"/>
      <c r="AR48" s="171"/>
      <c r="AS48" s="170"/>
      <c r="AT48" s="137"/>
      <c r="AU48" s="137"/>
      <c r="AV48" s="137"/>
      <c r="AW48" s="171"/>
      <c r="AX48" s="170"/>
      <c r="AY48" s="137"/>
      <c r="AZ48" s="137"/>
      <c r="BA48" s="137"/>
      <c r="BB48" s="171"/>
      <c r="BC48" s="170"/>
      <c r="BD48" s="137"/>
      <c r="BE48" s="137"/>
      <c r="BF48" s="137"/>
      <c r="BG48" s="171"/>
      <c r="BH48" s="170"/>
      <c r="BI48" s="137"/>
      <c r="BJ48" s="137"/>
      <c r="BK48" s="137"/>
      <c r="BL48" s="171"/>
      <c r="BM48" s="170"/>
      <c r="BN48" s="137"/>
      <c r="BO48" s="137"/>
      <c r="BP48" s="137"/>
      <c r="BQ48" s="171"/>
      <c r="BR48" s="170"/>
      <c r="BS48" s="137"/>
      <c r="BT48" s="137"/>
      <c r="BU48" s="137"/>
      <c r="BV48" s="171"/>
      <c r="BW48" s="129"/>
      <c r="BX48" s="368"/>
      <c r="BY48" s="280"/>
      <c r="BZ48" s="161"/>
    </row>
    <row r="49" spans="1:78" x14ac:dyDescent="0.2">
      <c r="A49" s="300" t="s">
        <v>26</v>
      </c>
      <c r="D49" s="323"/>
      <c r="E49" s="372"/>
      <c r="F49" s="373"/>
      <c r="G49" s="373"/>
      <c r="H49" s="373"/>
      <c r="I49" s="170"/>
      <c r="J49" s="372"/>
      <c r="K49" s="373"/>
      <c r="L49" s="373"/>
      <c r="M49" s="373"/>
      <c r="N49" s="171"/>
      <c r="O49" s="373"/>
      <c r="P49" s="373"/>
      <c r="Q49" s="373"/>
      <c r="R49" s="373"/>
      <c r="S49" s="170"/>
      <c r="T49" s="372"/>
      <c r="U49" s="373"/>
      <c r="V49" s="373"/>
      <c r="W49" s="373"/>
      <c r="X49" s="170"/>
      <c r="Y49" s="372"/>
      <c r="Z49" s="373"/>
      <c r="AA49" s="373"/>
      <c r="AB49" s="373"/>
      <c r="AC49" s="170"/>
      <c r="AD49" s="372"/>
      <c r="AE49" s="373"/>
      <c r="AF49" s="373"/>
      <c r="AG49" s="373"/>
      <c r="AH49" s="170"/>
      <c r="AI49" s="372"/>
      <c r="AJ49" s="373"/>
      <c r="AK49" s="373"/>
      <c r="AL49" s="373"/>
      <c r="AM49" s="170"/>
      <c r="AN49" s="372"/>
      <c r="AO49" s="373"/>
      <c r="AP49" s="373"/>
      <c r="AQ49" s="373"/>
      <c r="AR49" s="170"/>
      <c r="AS49" s="372"/>
      <c r="AT49" s="373"/>
      <c r="AU49" s="373"/>
      <c r="AV49" s="373"/>
      <c r="AW49" s="170"/>
      <c r="AX49" s="372"/>
      <c r="AY49" s="373"/>
      <c r="AZ49" s="373"/>
      <c r="BA49" s="373"/>
      <c r="BB49" s="170"/>
      <c r="BC49" s="372"/>
      <c r="BD49" s="373"/>
      <c r="BE49" s="373"/>
      <c r="BF49" s="373"/>
      <c r="BG49" s="170"/>
      <c r="BH49" s="372"/>
      <c r="BI49" s="373"/>
      <c r="BJ49" s="373"/>
      <c r="BK49" s="373"/>
      <c r="BL49" s="170"/>
      <c r="BM49" s="372"/>
      <c r="BN49" s="373"/>
      <c r="BO49" s="373"/>
      <c r="BP49" s="373"/>
      <c r="BQ49" s="170"/>
      <c r="BR49" s="372"/>
      <c r="BS49" s="373"/>
      <c r="BT49" s="373"/>
      <c r="BU49" s="373"/>
      <c r="BV49" s="170"/>
      <c r="BW49" s="374"/>
      <c r="BX49" s="368"/>
      <c r="BY49" s="280"/>
      <c r="BZ49" s="161"/>
    </row>
    <row r="50" spans="1:78" x14ac:dyDescent="0.2">
      <c r="A50" s="303" t="s">
        <v>265</v>
      </c>
      <c r="B50" s="325"/>
      <c r="C50" s="325"/>
      <c r="D50" s="323"/>
      <c r="E50" s="337">
        <v>5708</v>
      </c>
      <c r="F50" s="337">
        <v>0</v>
      </c>
      <c r="G50" s="337">
        <v>0</v>
      </c>
      <c r="H50" s="337">
        <v>0</v>
      </c>
      <c r="I50" s="157">
        <f t="shared" ref="I50:I56" si="24">SUM(E50:H50)</f>
        <v>5708</v>
      </c>
      <c r="J50" s="338">
        <v>475</v>
      </c>
      <c r="K50" s="337">
        <v>0</v>
      </c>
      <c r="L50" s="337">
        <v>0</v>
      </c>
      <c r="M50" s="337">
        <v>0</v>
      </c>
      <c r="N50" s="157">
        <f>SUM(J50:M50)</f>
        <v>475</v>
      </c>
      <c r="O50" s="337">
        <v>475</v>
      </c>
      <c r="P50" s="337">
        <v>0</v>
      </c>
      <c r="Q50" s="337">
        <v>0</v>
      </c>
      <c r="R50" s="337">
        <v>0</v>
      </c>
      <c r="S50" s="157">
        <f>SUM(O50:R50)</f>
        <v>475</v>
      </c>
      <c r="T50" s="337">
        <v>475</v>
      </c>
      <c r="U50" s="337">
        <v>0</v>
      </c>
      <c r="V50" s="337">
        <v>0</v>
      </c>
      <c r="W50" s="337">
        <v>0</v>
      </c>
      <c r="X50" s="157">
        <f>SUM(T50:W50)</f>
        <v>475</v>
      </c>
      <c r="Y50" s="337">
        <v>483</v>
      </c>
      <c r="Z50" s="337">
        <v>0</v>
      </c>
      <c r="AA50" s="337">
        <v>0</v>
      </c>
      <c r="AB50" s="337">
        <v>0</v>
      </c>
      <c r="AC50" s="157">
        <f>SUM(Y50:AB50)</f>
        <v>483</v>
      </c>
      <c r="AD50" s="337">
        <v>475</v>
      </c>
      <c r="AE50" s="337">
        <v>0</v>
      </c>
      <c r="AF50" s="337">
        <v>0</v>
      </c>
      <c r="AG50" s="337">
        <v>0</v>
      </c>
      <c r="AH50" s="157">
        <f>SUM(AD50:AG50)</f>
        <v>475</v>
      </c>
      <c r="AI50" s="337">
        <v>475</v>
      </c>
      <c r="AJ50" s="337">
        <v>0</v>
      </c>
      <c r="AK50" s="337">
        <v>0</v>
      </c>
      <c r="AL50" s="337">
        <v>0</v>
      </c>
      <c r="AM50" s="157">
        <f>SUM(AI50:AL50)</f>
        <v>475</v>
      </c>
      <c r="AN50" s="337">
        <v>0</v>
      </c>
      <c r="AO50" s="337">
        <v>0</v>
      </c>
      <c r="AP50" s="337">
        <v>0</v>
      </c>
      <c r="AQ50" s="337">
        <v>0</v>
      </c>
      <c r="AR50" s="157">
        <f>SUM(AN50:AQ50)</f>
        <v>0</v>
      </c>
      <c r="AS50" s="337">
        <v>0</v>
      </c>
      <c r="AT50" s="337">
        <v>0</v>
      </c>
      <c r="AU50" s="337">
        <v>0</v>
      </c>
      <c r="AV50" s="337">
        <v>0</v>
      </c>
      <c r="AW50" s="157">
        <f>SUM(AS50:AV50)</f>
        <v>0</v>
      </c>
      <c r="AX50" s="337">
        <v>0</v>
      </c>
      <c r="AY50" s="337">
        <v>0</v>
      </c>
      <c r="AZ50" s="337">
        <v>0</v>
      </c>
      <c r="BA50" s="337">
        <v>0</v>
      </c>
      <c r="BB50" s="157">
        <f>SUM(AX50:BA50)</f>
        <v>0</v>
      </c>
      <c r="BC50" s="337">
        <v>0</v>
      </c>
      <c r="BD50" s="337">
        <v>0</v>
      </c>
      <c r="BE50" s="337">
        <v>0</v>
      </c>
      <c r="BF50" s="337">
        <v>0</v>
      </c>
      <c r="BG50" s="157">
        <f>SUM(BC50:BF50)</f>
        <v>0</v>
      </c>
      <c r="BH50" s="337">
        <v>0</v>
      </c>
      <c r="BI50" s="337">
        <v>0</v>
      </c>
      <c r="BJ50" s="337">
        <v>0</v>
      </c>
      <c r="BK50" s="337">
        <v>0</v>
      </c>
      <c r="BL50" s="157">
        <f>SUM(BH50:BK50)</f>
        <v>0</v>
      </c>
      <c r="BM50" s="337">
        <v>0</v>
      </c>
      <c r="BN50" s="337">
        <v>0</v>
      </c>
      <c r="BO50" s="337">
        <v>0</v>
      </c>
      <c r="BP50" s="337">
        <v>0</v>
      </c>
      <c r="BQ50" s="157">
        <f>SUM(BM50:BP50)</f>
        <v>0</v>
      </c>
      <c r="BR50" s="337">
        <f t="shared" ref="BR50:BT51" si="25">+J50+O50+T50+Y50+AD50+AI50+AN50+AS50+AX50+BC50+BH50+BM50</f>
        <v>2858</v>
      </c>
      <c r="BS50" s="337">
        <f t="shared" si="25"/>
        <v>0</v>
      </c>
      <c r="BT50" s="337">
        <f t="shared" si="25"/>
        <v>0</v>
      </c>
      <c r="BU50" s="337">
        <f>+M50+R50+W50+AB50+AG50+AL50+AQ50+AV50+BA50+BF50+BK50+BP50</f>
        <v>0</v>
      </c>
      <c r="BV50" s="157">
        <f>SUM(BR50:BU50)</f>
        <v>2858</v>
      </c>
      <c r="BW50" s="129"/>
      <c r="BX50" s="368">
        <f t="shared" si="15"/>
        <v>50.070077084793276</v>
      </c>
      <c r="BY50" s="280"/>
      <c r="BZ50" s="161"/>
    </row>
    <row r="51" spans="1:78" x14ac:dyDescent="0.2">
      <c r="A51" s="303" t="s">
        <v>266</v>
      </c>
      <c r="B51" s="325"/>
      <c r="C51" s="281"/>
      <c r="D51" s="320" t="s">
        <v>86</v>
      </c>
      <c r="E51" s="337">
        <v>600518</v>
      </c>
      <c r="F51" s="337">
        <v>0</v>
      </c>
      <c r="G51" s="337">
        <v>0</v>
      </c>
      <c r="H51" s="337">
        <v>0</v>
      </c>
      <c r="I51" s="157">
        <f t="shared" si="24"/>
        <v>600518</v>
      </c>
      <c r="J51" s="338">
        <v>43960</v>
      </c>
      <c r="K51" s="337">
        <v>0</v>
      </c>
      <c r="L51" s="337">
        <v>0</v>
      </c>
      <c r="M51" s="337">
        <v>0</v>
      </c>
      <c r="N51" s="157">
        <f>SUM(J51:M51)</f>
        <v>43960</v>
      </c>
      <c r="O51" s="337">
        <v>43960</v>
      </c>
      <c r="P51" s="337">
        <v>0</v>
      </c>
      <c r="Q51" s="337">
        <v>0</v>
      </c>
      <c r="R51" s="337">
        <v>0</v>
      </c>
      <c r="S51" s="157">
        <f>SUM(O51:R51)</f>
        <v>43960</v>
      </c>
      <c r="T51" s="337">
        <v>43960</v>
      </c>
      <c r="U51" s="337">
        <v>0</v>
      </c>
      <c r="V51" s="337">
        <v>0</v>
      </c>
      <c r="W51" s="337">
        <v>0</v>
      </c>
      <c r="X51" s="157">
        <f>SUM(T51:W51)</f>
        <v>43960</v>
      </c>
      <c r="Y51" s="337">
        <v>103960</v>
      </c>
      <c r="Z51" s="337">
        <v>0</v>
      </c>
      <c r="AA51" s="337">
        <v>0</v>
      </c>
      <c r="AB51" s="337">
        <v>0</v>
      </c>
      <c r="AC51" s="157">
        <f>SUM(Y51:AB51)</f>
        <v>103960</v>
      </c>
      <c r="AD51" s="337">
        <v>103960</v>
      </c>
      <c r="AE51" s="337">
        <v>0</v>
      </c>
      <c r="AF51" s="337">
        <v>0</v>
      </c>
      <c r="AG51" s="337">
        <v>0</v>
      </c>
      <c r="AH51" s="157">
        <f>SUM(AD51:AG51)</f>
        <v>103960</v>
      </c>
      <c r="AI51" s="337">
        <v>43960</v>
      </c>
      <c r="AJ51" s="337">
        <v>0</v>
      </c>
      <c r="AK51" s="337">
        <v>0</v>
      </c>
      <c r="AL51" s="337">
        <v>0</v>
      </c>
      <c r="AM51" s="157">
        <f>SUM(AI51:AL51)</f>
        <v>43960</v>
      </c>
      <c r="AN51" s="337">
        <v>0</v>
      </c>
      <c r="AO51" s="337">
        <v>0</v>
      </c>
      <c r="AP51" s="337">
        <v>0</v>
      </c>
      <c r="AQ51" s="337">
        <v>0</v>
      </c>
      <c r="AR51" s="157">
        <f>SUM(AN51:AQ51)</f>
        <v>0</v>
      </c>
      <c r="AS51" s="337">
        <v>0</v>
      </c>
      <c r="AT51" s="337">
        <v>0</v>
      </c>
      <c r="AU51" s="337">
        <v>0</v>
      </c>
      <c r="AV51" s="337">
        <v>0</v>
      </c>
      <c r="AW51" s="157">
        <f>SUM(AS51:AV51)</f>
        <v>0</v>
      </c>
      <c r="AX51" s="337">
        <v>0</v>
      </c>
      <c r="AY51" s="337">
        <v>0</v>
      </c>
      <c r="AZ51" s="337">
        <v>0</v>
      </c>
      <c r="BA51" s="337">
        <v>0</v>
      </c>
      <c r="BB51" s="157">
        <f>SUM(AX51:BA51)</f>
        <v>0</v>
      </c>
      <c r="BC51" s="337">
        <v>0</v>
      </c>
      <c r="BD51" s="337">
        <v>0</v>
      </c>
      <c r="BE51" s="337">
        <v>0</v>
      </c>
      <c r="BF51" s="337">
        <v>0</v>
      </c>
      <c r="BG51" s="157">
        <f>SUM(BC51:BF51)</f>
        <v>0</v>
      </c>
      <c r="BH51" s="337">
        <v>0</v>
      </c>
      <c r="BI51" s="337">
        <v>0</v>
      </c>
      <c r="BJ51" s="337">
        <v>0</v>
      </c>
      <c r="BK51" s="337">
        <v>0</v>
      </c>
      <c r="BL51" s="157">
        <f>SUM(BH51:BK51)</f>
        <v>0</v>
      </c>
      <c r="BM51" s="337">
        <v>0</v>
      </c>
      <c r="BN51" s="337">
        <v>0</v>
      </c>
      <c r="BO51" s="337">
        <v>0</v>
      </c>
      <c r="BP51" s="337">
        <v>0</v>
      </c>
      <c r="BQ51" s="157">
        <f>SUM(BM51:BP51)</f>
        <v>0</v>
      </c>
      <c r="BR51" s="337">
        <f t="shared" si="25"/>
        <v>383760</v>
      </c>
      <c r="BS51" s="337">
        <f t="shared" si="25"/>
        <v>0</v>
      </c>
      <c r="BT51" s="337">
        <f t="shared" si="25"/>
        <v>0</v>
      </c>
      <c r="BU51" s="337">
        <f>+M51+R51+W51+AB51+AG51+AL51+AQ51+AV51+BA51+BF51+BK51+BP51</f>
        <v>0</v>
      </c>
      <c r="BV51" s="157">
        <f>SUM(BR51:BU51)</f>
        <v>383760</v>
      </c>
      <c r="BW51" s="129"/>
      <c r="BX51" s="368">
        <f t="shared" si="15"/>
        <v>63.904828831109143</v>
      </c>
      <c r="BY51" s="280"/>
      <c r="BZ51" s="161"/>
    </row>
    <row r="52" spans="1:78" x14ac:dyDescent="0.2">
      <c r="A52" s="303" t="s">
        <v>267</v>
      </c>
      <c r="B52" s="325"/>
      <c r="C52" s="281"/>
      <c r="D52" s="327"/>
      <c r="E52" s="337">
        <f>SUM(E53:E54)</f>
        <v>204769349.69999999</v>
      </c>
      <c r="F52" s="337">
        <v>0</v>
      </c>
      <c r="G52" s="337">
        <v>0</v>
      </c>
      <c r="H52" s="337">
        <v>0</v>
      </c>
      <c r="I52" s="157">
        <f t="shared" ref="I52:X52" si="26">SUM(I53:I54)</f>
        <v>204769349.69999999</v>
      </c>
      <c r="J52" s="338">
        <f t="shared" si="26"/>
        <v>3587887</v>
      </c>
      <c r="K52" s="337">
        <f t="shared" si="26"/>
        <v>0</v>
      </c>
      <c r="L52" s="337">
        <f t="shared" si="26"/>
        <v>0</v>
      </c>
      <c r="M52" s="337">
        <f t="shared" si="26"/>
        <v>0</v>
      </c>
      <c r="N52" s="157">
        <f t="shared" si="26"/>
        <v>3587887</v>
      </c>
      <c r="O52" s="337">
        <f t="shared" si="26"/>
        <v>4274259</v>
      </c>
      <c r="P52" s="337">
        <f t="shared" si="26"/>
        <v>0</v>
      </c>
      <c r="Q52" s="337">
        <f t="shared" si="26"/>
        <v>0</v>
      </c>
      <c r="R52" s="337">
        <f t="shared" si="26"/>
        <v>0</v>
      </c>
      <c r="S52" s="157">
        <f t="shared" si="26"/>
        <v>4274259</v>
      </c>
      <c r="T52" s="337">
        <f t="shared" si="26"/>
        <v>20232557</v>
      </c>
      <c r="U52" s="337">
        <f t="shared" si="26"/>
        <v>0</v>
      </c>
      <c r="V52" s="337">
        <f t="shared" si="26"/>
        <v>0</v>
      </c>
      <c r="W52" s="337">
        <f t="shared" si="26"/>
        <v>0</v>
      </c>
      <c r="X52" s="157">
        <f t="shared" si="26"/>
        <v>20232557</v>
      </c>
      <c r="Y52" s="337">
        <v>27300430</v>
      </c>
      <c r="Z52" s="337">
        <f t="shared" ref="Z52:AH52" si="27">SUM(Z53:Z54)</f>
        <v>0</v>
      </c>
      <c r="AA52" s="337">
        <f t="shared" si="27"/>
        <v>0</v>
      </c>
      <c r="AB52" s="337">
        <f t="shared" si="27"/>
        <v>0</v>
      </c>
      <c r="AC52" s="157">
        <f t="shared" si="27"/>
        <v>27300430</v>
      </c>
      <c r="AD52" s="337">
        <f t="shared" si="27"/>
        <v>27624060</v>
      </c>
      <c r="AE52" s="337">
        <f t="shared" si="27"/>
        <v>0</v>
      </c>
      <c r="AF52" s="337">
        <f t="shared" si="27"/>
        <v>0</v>
      </c>
      <c r="AG52" s="337">
        <f t="shared" si="27"/>
        <v>0</v>
      </c>
      <c r="AH52" s="157">
        <f t="shared" si="27"/>
        <v>27624060</v>
      </c>
      <c r="AI52" s="337">
        <v>16497519</v>
      </c>
      <c r="AJ52" s="337">
        <v>0</v>
      </c>
      <c r="AK52" s="337">
        <v>0</v>
      </c>
      <c r="AL52" s="337">
        <v>0</v>
      </c>
      <c r="AM52" s="157">
        <f>SUM(AM53:AM54)</f>
        <v>16497519</v>
      </c>
      <c r="AN52" s="337">
        <f>SUM(AN53:AN54)</f>
        <v>0</v>
      </c>
      <c r="AO52" s="337">
        <f t="shared" ref="AO52:BL52" si="28">SUM(AO53:AO54)</f>
        <v>0</v>
      </c>
      <c r="AP52" s="337">
        <f t="shared" si="28"/>
        <v>0</v>
      </c>
      <c r="AQ52" s="337">
        <f t="shared" si="28"/>
        <v>0</v>
      </c>
      <c r="AR52" s="157">
        <f t="shared" si="28"/>
        <v>0</v>
      </c>
      <c r="AS52" s="337">
        <f t="shared" si="28"/>
        <v>0</v>
      </c>
      <c r="AT52" s="337">
        <f t="shared" si="28"/>
        <v>0</v>
      </c>
      <c r="AU52" s="337">
        <f t="shared" si="28"/>
        <v>0</v>
      </c>
      <c r="AV52" s="337">
        <f t="shared" si="28"/>
        <v>0</v>
      </c>
      <c r="AW52" s="157">
        <f t="shared" si="28"/>
        <v>0</v>
      </c>
      <c r="AX52" s="337">
        <f t="shared" si="28"/>
        <v>0</v>
      </c>
      <c r="AY52" s="337">
        <f t="shared" si="28"/>
        <v>0</v>
      </c>
      <c r="AZ52" s="337">
        <f t="shared" si="28"/>
        <v>0</v>
      </c>
      <c r="BA52" s="337">
        <f t="shared" si="28"/>
        <v>0</v>
      </c>
      <c r="BB52" s="157">
        <f t="shared" si="28"/>
        <v>0</v>
      </c>
      <c r="BC52" s="337">
        <f t="shared" si="28"/>
        <v>0</v>
      </c>
      <c r="BD52" s="337">
        <f t="shared" si="28"/>
        <v>0</v>
      </c>
      <c r="BE52" s="337">
        <f t="shared" si="28"/>
        <v>0</v>
      </c>
      <c r="BF52" s="337">
        <f t="shared" si="28"/>
        <v>0</v>
      </c>
      <c r="BG52" s="157">
        <f t="shared" si="28"/>
        <v>0</v>
      </c>
      <c r="BH52" s="337">
        <f t="shared" si="28"/>
        <v>0</v>
      </c>
      <c r="BI52" s="337">
        <f t="shared" si="28"/>
        <v>0</v>
      </c>
      <c r="BJ52" s="337">
        <f t="shared" si="28"/>
        <v>0</v>
      </c>
      <c r="BK52" s="337">
        <f t="shared" si="28"/>
        <v>0</v>
      </c>
      <c r="BL52" s="157">
        <f t="shared" si="28"/>
        <v>0</v>
      </c>
      <c r="BM52" s="337">
        <v>0</v>
      </c>
      <c r="BN52" s="337">
        <v>0</v>
      </c>
      <c r="BO52" s="337">
        <v>0</v>
      </c>
      <c r="BP52" s="337">
        <v>0</v>
      </c>
      <c r="BQ52" s="157">
        <f t="shared" ref="BQ52:BV52" si="29">SUM(BQ53:BQ54)</f>
        <v>0</v>
      </c>
      <c r="BR52" s="337">
        <f t="shared" si="29"/>
        <v>99516712</v>
      </c>
      <c r="BS52" s="337">
        <f t="shared" si="29"/>
        <v>0</v>
      </c>
      <c r="BT52" s="337">
        <f t="shared" si="29"/>
        <v>0</v>
      </c>
      <c r="BU52" s="337">
        <f t="shared" si="29"/>
        <v>0</v>
      </c>
      <c r="BV52" s="157">
        <f t="shared" si="29"/>
        <v>99516712</v>
      </c>
      <c r="BW52" s="129"/>
      <c r="BX52" s="368">
        <f>(BV52/I52)*100</f>
        <v>48.599417903996986</v>
      </c>
      <c r="BY52" s="280"/>
      <c r="BZ52" s="280"/>
    </row>
    <row r="53" spans="1:78" s="330" customFormat="1" x14ac:dyDescent="0.2">
      <c r="A53" s="329" t="s">
        <v>131</v>
      </c>
      <c r="C53" s="331"/>
      <c r="D53" s="327"/>
      <c r="E53" s="334">
        <v>204620553.25</v>
      </c>
      <c r="F53" s="334">
        <v>0</v>
      </c>
      <c r="G53" s="334">
        <v>0</v>
      </c>
      <c r="H53" s="334">
        <v>0</v>
      </c>
      <c r="I53" s="187">
        <f>SUM(E53:H53)</f>
        <v>204620553.25</v>
      </c>
      <c r="J53" s="336">
        <v>3587571</v>
      </c>
      <c r="K53" s="334">
        <v>0</v>
      </c>
      <c r="L53" s="334">
        <v>0</v>
      </c>
      <c r="M53" s="334">
        <v>0</v>
      </c>
      <c r="N53" s="187">
        <f t="shared" ref="N53:N67" si="30">SUM(J53:M53)</f>
        <v>3587571</v>
      </c>
      <c r="O53" s="334">
        <v>4257039</v>
      </c>
      <c r="P53" s="334">
        <v>0</v>
      </c>
      <c r="Q53" s="334">
        <v>0</v>
      </c>
      <c r="R53" s="334">
        <v>0</v>
      </c>
      <c r="S53" s="187">
        <f t="shared" ref="S53:S67" si="31">SUM(O53:R53)</f>
        <v>4257039</v>
      </c>
      <c r="T53" s="334">
        <v>20232306</v>
      </c>
      <c r="U53" s="334">
        <v>0</v>
      </c>
      <c r="V53" s="334">
        <v>0</v>
      </c>
      <c r="W53" s="334">
        <v>0</v>
      </c>
      <c r="X53" s="187">
        <f t="shared" ref="X53:X67" si="32">SUM(T53:W53)</f>
        <v>20232306</v>
      </c>
      <c r="Y53" s="334">
        <v>27299692.5</v>
      </c>
      <c r="Z53" s="334">
        <v>0</v>
      </c>
      <c r="AA53" s="334">
        <v>0</v>
      </c>
      <c r="AB53" s="334">
        <v>0</v>
      </c>
      <c r="AC53" s="187">
        <f t="shared" ref="AC53:AC67" si="33">SUM(Y53:AB53)</f>
        <v>27299692.5</v>
      </c>
      <c r="AD53" s="334">
        <v>27623391</v>
      </c>
      <c r="AE53" s="334">
        <v>0</v>
      </c>
      <c r="AF53" s="334">
        <v>0</v>
      </c>
      <c r="AG53" s="334">
        <v>0</v>
      </c>
      <c r="AH53" s="187">
        <f t="shared" ref="AH53:AH67" si="34">SUM(AD53:AG53)</f>
        <v>27623391</v>
      </c>
      <c r="AI53" s="334">
        <v>16497399</v>
      </c>
      <c r="AJ53" s="334">
        <v>0</v>
      </c>
      <c r="AK53" s="334">
        <v>0</v>
      </c>
      <c r="AL53" s="334">
        <v>0</v>
      </c>
      <c r="AM53" s="187">
        <f t="shared" ref="AM53:AM67" si="35">SUM(AI53:AL53)</f>
        <v>16497399</v>
      </c>
      <c r="AN53" s="334">
        <v>0</v>
      </c>
      <c r="AO53" s="334">
        <v>0</v>
      </c>
      <c r="AP53" s="334">
        <v>0</v>
      </c>
      <c r="AQ53" s="334">
        <v>0</v>
      </c>
      <c r="AR53" s="187">
        <f t="shared" ref="AR53:AR67" si="36">SUM(AN53:AQ53)</f>
        <v>0</v>
      </c>
      <c r="AS53" s="334">
        <v>0</v>
      </c>
      <c r="AT53" s="334">
        <v>0</v>
      </c>
      <c r="AU53" s="334">
        <v>0</v>
      </c>
      <c r="AV53" s="334">
        <v>0</v>
      </c>
      <c r="AW53" s="187">
        <f t="shared" ref="AW53:AW67" si="37">SUM(AS53:AV53)</f>
        <v>0</v>
      </c>
      <c r="AX53" s="334">
        <v>0</v>
      </c>
      <c r="AY53" s="334">
        <v>0</v>
      </c>
      <c r="AZ53" s="334">
        <v>0</v>
      </c>
      <c r="BA53" s="334">
        <v>0</v>
      </c>
      <c r="BB53" s="187">
        <f t="shared" ref="BB53:BB67" si="38">SUM(AX53:BA53)</f>
        <v>0</v>
      </c>
      <c r="BC53" s="334">
        <v>0</v>
      </c>
      <c r="BD53" s="334">
        <v>0</v>
      </c>
      <c r="BE53" s="334">
        <v>0</v>
      </c>
      <c r="BF53" s="334">
        <v>0</v>
      </c>
      <c r="BG53" s="187">
        <f t="shared" ref="BG53:BG67" si="39">SUM(BC53:BF53)</f>
        <v>0</v>
      </c>
      <c r="BH53" s="334">
        <v>0</v>
      </c>
      <c r="BI53" s="334">
        <v>0</v>
      </c>
      <c r="BJ53" s="334">
        <v>0</v>
      </c>
      <c r="BK53" s="334">
        <v>0</v>
      </c>
      <c r="BL53" s="187">
        <f t="shared" ref="BL53:BL67" si="40">SUM(BH53:BK53)</f>
        <v>0</v>
      </c>
      <c r="BM53" s="334">
        <v>0</v>
      </c>
      <c r="BN53" s="334">
        <v>0</v>
      </c>
      <c r="BO53" s="334">
        <v>0</v>
      </c>
      <c r="BP53" s="334">
        <v>0</v>
      </c>
      <c r="BQ53" s="187">
        <f t="shared" ref="BQ53:BQ67" si="41">SUM(BM53:BP53)</f>
        <v>0</v>
      </c>
      <c r="BR53" s="334">
        <f t="shared" ref="BR53:BU59" si="42">+J53+O53+T53+Y53+AD53+AI53+AN53+AS53+AX53+BC53+BH53+BM53</f>
        <v>99497398.5</v>
      </c>
      <c r="BS53" s="334">
        <f t="shared" si="42"/>
        <v>0</v>
      </c>
      <c r="BT53" s="334">
        <f t="shared" si="42"/>
        <v>0</v>
      </c>
      <c r="BU53" s="334">
        <f>+M53+R53+W53+AB53+AG53+AL53+AQ53+AV53+BA53+BF53+BK53+BP53</f>
        <v>0</v>
      </c>
      <c r="BV53" s="187">
        <f t="shared" ref="BV53:BV67" si="43">SUM(BR53:BU53)</f>
        <v>99497398.5</v>
      </c>
      <c r="BW53" s="162"/>
      <c r="BX53" s="375">
        <f t="shared" si="15"/>
        <v>48.625319851636171</v>
      </c>
      <c r="BY53" s="331"/>
      <c r="BZ53" s="331"/>
    </row>
    <row r="54" spans="1:78" s="330" customFormat="1" x14ac:dyDescent="0.2">
      <c r="A54" s="329" t="s">
        <v>268</v>
      </c>
      <c r="C54" s="331"/>
      <c r="D54" s="327"/>
      <c r="E54" s="334">
        <v>148796.45000000001</v>
      </c>
      <c r="F54" s="334">
        <v>0</v>
      </c>
      <c r="G54" s="334">
        <v>0</v>
      </c>
      <c r="H54" s="334">
        <v>0</v>
      </c>
      <c r="I54" s="187">
        <f>SUM(E54:H54)</f>
        <v>148796.45000000001</v>
      </c>
      <c r="J54" s="336">
        <v>316</v>
      </c>
      <c r="K54" s="334">
        <v>0</v>
      </c>
      <c r="L54" s="334">
        <v>0</v>
      </c>
      <c r="M54" s="334">
        <v>0</v>
      </c>
      <c r="N54" s="187">
        <f t="shared" si="30"/>
        <v>316</v>
      </c>
      <c r="O54" s="334">
        <v>17220</v>
      </c>
      <c r="P54" s="334">
        <v>0</v>
      </c>
      <c r="Q54" s="334">
        <v>0</v>
      </c>
      <c r="R54" s="334">
        <v>0</v>
      </c>
      <c r="S54" s="187">
        <f t="shared" si="31"/>
        <v>17220</v>
      </c>
      <c r="T54" s="334">
        <v>251</v>
      </c>
      <c r="U54" s="334">
        <v>0</v>
      </c>
      <c r="V54" s="334">
        <v>0</v>
      </c>
      <c r="W54" s="334">
        <v>0</v>
      </c>
      <c r="X54" s="187">
        <f t="shared" si="32"/>
        <v>251</v>
      </c>
      <c r="Y54" s="334">
        <v>737.5</v>
      </c>
      <c r="Z54" s="334">
        <v>0</v>
      </c>
      <c r="AA54" s="334">
        <v>0</v>
      </c>
      <c r="AB54" s="334">
        <v>0</v>
      </c>
      <c r="AC54" s="187">
        <f t="shared" si="33"/>
        <v>737.5</v>
      </c>
      <c r="AD54" s="334">
        <v>669</v>
      </c>
      <c r="AE54" s="334">
        <v>0</v>
      </c>
      <c r="AF54" s="334">
        <v>0</v>
      </c>
      <c r="AG54" s="334">
        <v>0</v>
      </c>
      <c r="AH54" s="187">
        <f t="shared" si="34"/>
        <v>669</v>
      </c>
      <c r="AI54" s="334">
        <v>120</v>
      </c>
      <c r="AJ54" s="334">
        <v>0</v>
      </c>
      <c r="AK54" s="334">
        <v>0</v>
      </c>
      <c r="AL54" s="334">
        <v>0</v>
      </c>
      <c r="AM54" s="187">
        <f t="shared" si="35"/>
        <v>120</v>
      </c>
      <c r="AN54" s="334">
        <v>0</v>
      </c>
      <c r="AO54" s="334">
        <v>0</v>
      </c>
      <c r="AP54" s="334">
        <v>0</v>
      </c>
      <c r="AQ54" s="334">
        <v>0</v>
      </c>
      <c r="AR54" s="187">
        <f t="shared" si="36"/>
        <v>0</v>
      </c>
      <c r="AS54" s="334">
        <v>0</v>
      </c>
      <c r="AT54" s="334">
        <v>0</v>
      </c>
      <c r="AU54" s="334">
        <v>0</v>
      </c>
      <c r="AV54" s="334">
        <v>0</v>
      </c>
      <c r="AW54" s="187">
        <f t="shared" si="37"/>
        <v>0</v>
      </c>
      <c r="AX54" s="334">
        <v>0</v>
      </c>
      <c r="AY54" s="334">
        <v>0</v>
      </c>
      <c r="AZ54" s="334">
        <v>0</v>
      </c>
      <c r="BA54" s="334">
        <v>0</v>
      </c>
      <c r="BB54" s="187">
        <f t="shared" si="38"/>
        <v>0</v>
      </c>
      <c r="BC54" s="334">
        <v>0</v>
      </c>
      <c r="BD54" s="334">
        <v>0</v>
      </c>
      <c r="BE54" s="334">
        <v>0</v>
      </c>
      <c r="BF54" s="334">
        <v>0</v>
      </c>
      <c r="BG54" s="187">
        <f t="shared" si="39"/>
        <v>0</v>
      </c>
      <c r="BH54" s="334">
        <v>0</v>
      </c>
      <c r="BI54" s="334">
        <v>0</v>
      </c>
      <c r="BJ54" s="334">
        <v>0</v>
      </c>
      <c r="BK54" s="334">
        <v>0</v>
      </c>
      <c r="BL54" s="187">
        <f t="shared" si="40"/>
        <v>0</v>
      </c>
      <c r="BM54" s="334">
        <v>0</v>
      </c>
      <c r="BN54" s="334">
        <v>0</v>
      </c>
      <c r="BO54" s="334">
        <v>0</v>
      </c>
      <c r="BP54" s="334">
        <v>0</v>
      </c>
      <c r="BQ54" s="187">
        <f t="shared" si="41"/>
        <v>0</v>
      </c>
      <c r="BR54" s="334">
        <f t="shared" si="42"/>
        <v>19313.5</v>
      </c>
      <c r="BS54" s="334">
        <f t="shared" si="42"/>
        <v>0</v>
      </c>
      <c r="BT54" s="334">
        <f t="shared" si="42"/>
        <v>0</v>
      </c>
      <c r="BU54" s="334">
        <f>+M54+R54+W54+AB54+AG54+AL54+AQ54+AV54+BA54+BF54+BK54+BP54</f>
        <v>0</v>
      </c>
      <c r="BV54" s="187">
        <f t="shared" si="43"/>
        <v>19313.5</v>
      </c>
      <c r="BW54" s="162"/>
      <c r="BX54" s="375">
        <f>(BV54/I54)*100</f>
        <v>12.979812354394207</v>
      </c>
      <c r="BY54" s="331"/>
      <c r="BZ54" s="331"/>
    </row>
    <row r="55" spans="1:78" x14ac:dyDescent="0.2">
      <c r="A55" s="303" t="s">
        <v>269</v>
      </c>
      <c r="B55" s="325"/>
      <c r="C55" s="281"/>
      <c r="D55" s="320"/>
      <c r="E55" s="337">
        <v>0</v>
      </c>
      <c r="F55" s="337">
        <v>505553753</v>
      </c>
      <c r="G55" s="337">
        <v>0</v>
      </c>
      <c r="H55" s="337">
        <v>0</v>
      </c>
      <c r="I55" s="157">
        <f t="shared" si="24"/>
        <v>505553753</v>
      </c>
      <c r="J55" s="338">
        <v>0</v>
      </c>
      <c r="K55" s="337">
        <v>42129484</v>
      </c>
      <c r="L55" s="337">
        <v>0</v>
      </c>
      <c r="M55" s="337">
        <v>0</v>
      </c>
      <c r="N55" s="157">
        <f t="shared" si="30"/>
        <v>42129484</v>
      </c>
      <c r="O55" s="337">
        <v>0</v>
      </c>
      <c r="P55" s="337">
        <v>42129482</v>
      </c>
      <c r="Q55" s="337">
        <v>0</v>
      </c>
      <c r="R55" s="337">
        <v>0</v>
      </c>
      <c r="S55" s="157">
        <f t="shared" si="31"/>
        <v>42129482</v>
      </c>
      <c r="T55" s="337">
        <v>0</v>
      </c>
      <c r="U55" s="337">
        <v>42129482</v>
      </c>
      <c r="V55" s="337">
        <v>0</v>
      </c>
      <c r="W55" s="337">
        <v>0</v>
      </c>
      <c r="X55" s="157">
        <f t="shared" si="32"/>
        <v>42129482</v>
      </c>
      <c r="Y55" s="337">
        <v>0</v>
      </c>
      <c r="Z55" s="337">
        <v>42129482</v>
      </c>
      <c r="AA55" s="337">
        <v>0</v>
      </c>
      <c r="AB55" s="337">
        <v>0</v>
      </c>
      <c r="AC55" s="157">
        <f t="shared" si="33"/>
        <v>42129482</v>
      </c>
      <c r="AD55" s="337">
        <v>0</v>
      </c>
      <c r="AE55" s="337">
        <v>42129480</v>
      </c>
      <c r="AF55" s="337">
        <v>0</v>
      </c>
      <c r="AG55" s="337">
        <v>0</v>
      </c>
      <c r="AH55" s="157">
        <f t="shared" si="34"/>
        <v>42129480</v>
      </c>
      <c r="AI55" s="337">
        <v>0</v>
      </c>
      <c r="AJ55" s="337">
        <v>42129480</v>
      </c>
      <c r="AK55" s="337">
        <v>0</v>
      </c>
      <c r="AL55" s="337">
        <v>0</v>
      </c>
      <c r="AM55" s="157">
        <f t="shared" si="35"/>
        <v>42129480</v>
      </c>
      <c r="AN55" s="337">
        <v>0</v>
      </c>
      <c r="AO55" s="337">
        <v>0</v>
      </c>
      <c r="AP55" s="337">
        <v>0</v>
      </c>
      <c r="AQ55" s="337">
        <v>0</v>
      </c>
      <c r="AR55" s="157">
        <f t="shared" si="36"/>
        <v>0</v>
      </c>
      <c r="AS55" s="337">
        <v>0</v>
      </c>
      <c r="AT55" s="337">
        <v>0</v>
      </c>
      <c r="AU55" s="337">
        <v>0</v>
      </c>
      <c r="AV55" s="337">
        <v>0</v>
      </c>
      <c r="AW55" s="157">
        <f t="shared" si="37"/>
        <v>0</v>
      </c>
      <c r="AX55" s="337">
        <v>0</v>
      </c>
      <c r="AY55" s="337">
        <v>0</v>
      </c>
      <c r="AZ55" s="337">
        <v>0</v>
      </c>
      <c r="BA55" s="337">
        <v>0</v>
      </c>
      <c r="BB55" s="157">
        <f t="shared" si="38"/>
        <v>0</v>
      </c>
      <c r="BC55" s="337">
        <v>0</v>
      </c>
      <c r="BD55" s="337">
        <v>0</v>
      </c>
      <c r="BE55" s="337">
        <v>0</v>
      </c>
      <c r="BF55" s="337">
        <v>0</v>
      </c>
      <c r="BG55" s="157">
        <f t="shared" si="39"/>
        <v>0</v>
      </c>
      <c r="BH55" s="337">
        <v>0</v>
      </c>
      <c r="BI55" s="337">
        <v>0</v>
      </c>
      <c r="BJ55" s="337">
        <v>0</v>
      </c>
      <c r="BK55" s="337">
        <v>0</v>
      </c>
      <c r="BL55" s="157">
        <f t="shared" si="40"/>
        <v>0</v>
      </c>
      <c r="BM55" s="337">
        <v>0</v>
      </c>
      <c r="BN55" s="337">
        <v>0</v>
      </c>
      <c r="BO55" s="337">
        <v>0</v>
      </c>
      <c r="BP55" s="337">
        <v>0</v>
      </c>
      <c r="BQ55" s="157">
        <f>SUM(BM55:BP55)</f>
        <v>0</v>
      </c>
      <c r="BR55" s="337">
        <f t="shared" si="42"/>
        <v>0</v>
      </c>
      <c r="BS55" s="337">
        <f t="shared" si="42"/>
        <v>252776890</v>
      </c>
      <c r="BT55" s="337">
        <f t="shared" si="42"/>
        <v>0</v>
      </c>
      <c r="BU55" s="337">
        <f>+M55+R55+W55+AB55+AG55+AL55+AQ55+AV55+BA55+BF55+BK55+BP55</f>
        <v>0</v>
      </c>
      <c r="BV55" s="157">
        <f t="shared" si="43"/>
        <v>252776890</v>
      </c>
      <c r="BW55" s="129"/>
      <c r="BX55" s="368">
        <f t="shared" si="15"/>
        <v>50.000002670339192</v>
      </c>
      <c r="BY55" s="120"/>
    </row>
    <row r="56" spans="1:78" x14ac:dyDescent="0.2">
      <c r="A56" s="303" t="s">
        <v>270</v>
      </c>
      <c r="B56" s="325"/>
      <c r="C56" s="281"/>
      <c r="D56" s="323"/>
      <c r="E56" s="337">
        <v>0</v>
      </c>
      <c r="F56" s="337">
        <v>13166793</v>
      </c>
      <c r="G56" s="337">
        <v>0</v>
      </c>
      <c r="H56" s="337">
        <v>0</v>
      </c>
      <c r="I56" s="157">
        <f t="shared" si="24"/>
        <v>13166793</v>
      </c>
      <c r="J56" s="338">
        <v>0</v>
      </c>
      <c r="K56" s="337">
        <v>0</v>
      </c>
      <c r="L56" s="337">
        <v>0</v>
      </c>
      <c r="M56" s="337">
        <v>0</v>
      </c>
      <c r="N56" s="157">
        <f t="shared" si="30"/>
        <v>0</v>
      </c>
      <c r="O56" s="337">
        <v>0</v>
      </c>
      <c r="P56" s="337">
        <v>0</v>
      </c>
      <c r="Q56" s="337">
        <v>0</v>
      </c>
      <c r="R56" s="337">
        <v>0</v>
      </c>
      <c r="S56" s="157">
        <f t="shared" si="31"/>
        <v>0</v>
      </c>
      <c r="T56" s="337">
        <v>0</v>
      </c>
      <c r="U56" s="337">
        <v>0</v>
      </c>
      <c r="V56" s="337">
        <v>0</v>
      </c>
      <c r="W56" s="337">
        <v>0</v>
      </c>
      <c r="X56" s="157">
        <f t="shared" si="32"/>
        <v>0</v>
      </c>
      <c r="Y56" s="337">
        <v>0</v>
      </c>
      <c r="Z56" s="337">
        <v>0</v>
      </c>
      <c r="AA56" s="337">
        <v>0</v>
      </c>
      <c r="AB56" s="337">
        <v>0</v>
      </c>
      <c r="AC56" s="157">
        <f t="shared" si="33"/>
        <v>0</v>
      </c>
      <c r="AD56" s="337">
        <v>0</v>
      </c>
      <c r="AE56" s="337">
        <v>4388928</v>
      </c>
      <c r="AF56" s="337">
        <v>0</v>
      </c>
      <c r="AG56" s="337">
        <v>0</v>
      </c>
      <c r="AH56" s="157">
        <f t="shared" si="34"/>
        <v>4388928</v>
      </c>
      <c r="AI56" s="337">
        <v>0</v>
      </c>
      <c r="AJ56" s="337">
        <v>0</v>
      </c>
      <c r="AK56" s="337">
        <v>0</v>
      </c>
      <c r="AL56" s="337">
        <v>0</v>
      </c>
      <c r="AM56" s="157">
        <f t="shared" si="35"/>
        <v>0</v>
      </c>
      <c r="AN56" s="337">
        <v>0</v>
      </c>
      <c r="AO56" s="337">
        <v>0</v>
      </c>
      <c r="AP56" s="337">
        <v>0</v>
      </c>
      <c r="AQ56" s="337">
        <v>0</v>
      </c>
      <c r="AR56" s="157">
        <f t="shared" si="36"/>
        <v>0</v>
      </c>
      <c r="AS56" s="337">
        <v>0</v>
      </c>
      <c r="AT56" s="337">
        <v>0</v>
      </c>
      <c r="AU56" s="337">
        <v>0</v>
      </c>
      <c r="AV56" s="337">
        <v>0</v>
      </c>
      <c r="AW56" s="157">
        <f t="shared" si="37"/>
        <v>0</v>
      </c>
      <c r="AX56" s="337">
        <v>0</v>
      </c>
      <c r="AY56" s="337">
        <v>0</v>
      </c>
      <c r="AZ56" s="337">
        <v>0</v>
      </c>
      <c r="BA56" s="337">
        <v>0</v>
      </c>
      <c r="BB56" s="157">
        <f t="shared" si="38"/>
        <v>0</v>
      </c>
      <c r="BC56" s="337">
        <v>0</v>
      </c>
      <c r="BD56" s="337">
        <v>0</v>
      </c>
      <c r="BE56" s="337">
        <v>0</v>
      </c>
      <c r="BF56" s="337">
        <v>0</v>
      </c>
      <c r="BG56" s="157">
        <f t="shared" si="39"/>
        <v>0</v>
      </c>
      <c r="BH56" s="337">
        <v>0</v>
      </c>
      <c r="BI56" s="337">
        <v>0</v>
      </c>
      <c r="BJ56" s="337">
        <v>0</v>
      </c>
      <c r="BK56" s="337">
        <v>0</v>
      </c>
      <c r="BL56" s="157">
        <f t="shared" si="40"/>
        <v>0</v>
      </c>
      <c r="BM56" s="337">
        <v>0</v>
      </c>
      <c r="BN56" s="337">
        <v>0</v>
      </c>
      <c r="BO56" s="337">
        <v>0</v>
      </c>
      <c r="BP56" s="337">
        <v>0</v>
      </c>
      <c r="BQ56" s="157">
        <f t="shared" si="41"/>
        <v>0</v>
      </c>
      <c r="BR56" s="337">
        <f t="shared" si="42"/>
        <v>0</v>
      </c>
      <c r="BS56" s="337">
        <f t="shared" si="42"/>
        <v>4388928</v>
      </c>
      <c r="BT56" s="337">
        <f t="shared" si="42"/>
        <v>0</v>
      </c>
      <c r="BU56" s="337">
        <f>+M56+R56+W56+AB56+AG56+AL56+AQ56+AV56+BA56+BF56+BK56+BP56</f>
        <v>0</v>
      </c>
      <c r="BV56" s="157">
        <f t="shared" si="43"/>
        <v>4388928</v>
      </c>
      <c r="BW56" s="129"/>
      <c r="BX56" s="368">
        <f t="shared" si="15"/>
        <v>33.333310548741821</v>
      </c>
    </row>
    <row r="57" spans="1:78" ht="12" customHeight="1" x14ac:dyDescent="0.2">
      <c r="A57" s="303" t="s">
        <v>271</v>
      </c>
      <c r="B57" s="325"/>
      <c r="C57" s="281"/>
      <c r="D57" s="320" t="s">
        <v>88</v>
      </c>
      <c r="E57" s="337">
        <v>0</v>
      </c>
      <c r="F57" s="337">
        <v>0</v>
      </c>
      <c r="G57" s="337">
        <v>0</v>
      </c>
      <c r="H57" s="337">
        <v>468468</v>
      </c>
      <c r="I57" s="157">
        <f t="shared" ref="I57:I67" si="44">SUM(E57:H57)</f>
        <v>468468</v>
      </c>
      <c r="J57" s="338">
        <v>0</v>
      </c>
      <c r="K57" s="337">
        <v>0</v>
      </c>
      <c r="L57" s="337">
        <v>0</v>
      </c>
      <c r="M57" s="337">
        <f>-[33]original!$G$40</f>
        <v>131872</v>
      </c>
      <c r="N57" s="157">
        <f t="shared" si="30"/>
        <v>131872</v>
      </c>
      <c r="O57" s="337">
        <v>0</v>
      </c>
      <c r="P57" s="337">
        <v>0</v>
      </c>
      <c r="Q57" s="337">
        <v>0</v>
      </c>
      <c r="R57" s="337">
        <f>-[34]original!$H$40</f>
        <v>83878</v>
      </c>
      <c r="S57" s="157">
        <f>SUM(O57:R57)</f>
        <v>83878</v>
      </c>
      <c r="T57" s="337">
        <v>0</v>
      </c>
      <c r="U57" s="337">
        <v>0</v>
      </c>
      <c r="V57" s="337">
        <v>0</v>
      </c>
      <c r="W57" s="337">
        <f>-[35]original!$I$40</f>
        <v>23306</v>
      </c>
      <c r="X57" s="157">
        <f t="shared" si="32"/>
        <v>23306</v>
      </c>
      <c r="Y57" s="337">
        <v>0</v>
      </c>
      <c r="Z57" s="337">
        <v>0</v>
      </c>
      <c r="AA57" s="337">
        <v>0</v>
      </c>
      <c r="AB57" s="337">
        <f>-[20]original!$X$40</f>
        <v>119906</v>
      </c>
      <c r="AC57" s="157">
        <f t="shared" si="33"/>
        <v>119906</v>
      </c>
      <c r="AD57" s="337">
        <v>0</v>
      </c>
      <c r="AE57" s="337">
        <v>0</v>
      </c>
      <c r="AF57" s="337">
        <v>0</v>
      </c>
      <c r="AG57" s="337">
        <f>-[36]original!$K$40</f>
        <v>230</v>
      </c>
      <c r="AH57" s="157">
        <f t="shared" ref="AH57:AH64" si="45">SUM(AD57:AG57)</f>
        <v>230</v>
      </c>
      <c r="AI57" s="337">
        <v>0</v>
      </c>
      <c r="AJ57" s="337">
        <v>0</v>
      </c>
      <c r="AK57" s="337">
        <v>0</v>
      </c>
      <c r="AL57" s="337">
        <v>21</v>
      </c>
      <c r="AM57" s="157">
        <f>SUM(AI57:AL57)</f>
        <v>21</v>
      </c>
      <c r="AN57" s="337">
        <v>0</v>
      </c>
      <c r="AO57" s="337">
        <v>0</v>
      </c>
      <c r="AP57" s="337">
        <v>0</v>
      </c>
      <c r="AQ57" s="337">
        <v>0</v>
      </c>
      <c r="AR57" s="157">
        <f t="shared" si="36"/>
        <v>0</v>
      </c>
      <c r="AS57" s="337">
        <v>0</v>
      </c>
      <c r="AT57" s="337">
        <v>0</v>
      </c>
      <c r="AU57" s="337">
        <v>0</v>
      </c>
      <c r="AV57" s="337">
        <v>0</v>
      </c>
      <c r="AW57" s="157">
        <f t="shared" si="37"/>
        <v>0</v>
      </c>
      <c r="AX57" s="337">
        <v>0</v>
      </c>
      <c r="AY57" s="337">
        <v>0</v>
      </c>
      <c r="AZ57" s="337">
        <v>0</v>
      </c>
      <c r="BA57" s="337">
        <v>0</v>
      </c>
      <c r="BB57" s="157">
        <f>SUM(AX57:BA57)</f>
        <v>0</v>
      </c>
      <c r="BC57" s="337">
        <v>0</v>
      </c>
      <c r="BD57" s="337">
        <v>0</v>
      </c>
      <c r="BE57" s="337">
        <v>0</v>
      </c>
      <c r="BF57" s="337">
        <v>0</v>
      </c>
      <c r="BG57" s="157">
        <f t="shared" si="39"/>
        <v>0</v>
      </c>
      <c r="BH57" s="337">
        <v>0</v>
      </c>
      <c r="BI57" s="337">
        <v>0</v>
      </c>
      <c r="BJ57" s="337">
        <v>0</v>
      </c>
      <c r="BK57" s="337">
        <v>0</v>
      </c>
      <c r="BL57" s="157">
        <f t="shared" si="40"/>
        <v>0</v>
      </c>
      <c r="BM57" s="337">
        <v>0</v>
      </c>
      <c r="BN57" s="337">
        <v>0</v>
      </c>
      <c r="BO57" s="337">
        <v>0</v>
      </c>
      <c r="BP57" s="337">
        <v>0</v>
      </c>
      <c r="BQ57" s="157">
        <f t="shared" si="41"/>
        <v>0</v>
      </c>
      <c r="BR57" s="337">
        <f t="shared" si="42"/>
        <v>0</v>
      </c>
      <c r="BS57" s="337">
        <f t="shared" si="42"/>
        <v>0</v>
      </c>
      <c r="BT57" s="337">
        <f t="shared" si="42"/>
        <v>0</v>
      </c>
      <c r="BU57" s="337">
        <f>+M57+R57+W57+AB57+AG57+AL57+AQ57+AV57+BA57+BF57+BK57+BP57</f>
        <v>359213</v>
      </c>
      <c r="BV57" s="157">
        <f t="shared" si="43"/>
        <v>359213</v>
      </c>
      <c r="BW57" s="129"/>
      <c r="BX57" s="368">
        <f>(BV57/I57)*100</f>
        <v>76.678236293620898</v>
      </c>
    </row>
    <row r="58" spans="1:78" x14ac:dyDescent="0.2">
      <c r="A58" s="303" t="s">
        <v>316</v>
      </c>
      <c r="B58" s="325"/>
      <c r="C58" s="281"/>
      <c r="D58" s="320" t="s">
        <v>116</v>
      </c>
      <c r="E58" s="337">
        <v>0</v>
      </c>
      <c r="F58" s="337">
        <v>0</v>
      </c>
      <c r="G58" s="337">
        <v>0</v>
      </c>
      <c r="H58" s="337">
        <v>0</v>
      </c>
      <c r="I58" s="157">
        <f t="shared" si="44"/>
        <v>0</v>
      </c>
      <c r="J58" s="338">
        <v>0</v>
      </c>
      <c r="K58" s="337">
        <v>0</v>
      </c>
      <c r="L58" s="337">
        <v>0</v>
      </c>
      <c r="M58" s="337">
        <v>13500000</v>
      </c>
      <c r="N58" s="157">
        <f t="shared" si="30"/>
        <v>13500000</v>
      </c>
      <c r="O58" s="337">
        <v>0</v>
      </c>
      <c r="P58" s="337">
        <v>0</v>
      </c>
      <c r="Q58" s="337">
        <v>0</v>
      </c>
      <c r="R58" s="337">
        <v>0</v>
      </c>
      <c r="S58" s="157">
        <f t="shared" si="31"/>
        <v>0</v>
      </c>
      <c r="T58" s="337">
        <v>0</v>
      </c>
      <c r="U58" s="337">
        <v>0</v>
      </c>
      <c r="V58" s="337">
        <v>0</v>
      </c>
      <c r="W58" s="337">
        <v>0</v>
      </c>
      <c r="X58" s="157">
        <f t="shared" si="32"/>
        <v>0</v>
      </c>
      <c r="Y58" s="337">
        <v>0</v>
      </c>
      <c r="Z58" s="337">
        <v>0</v>
      </c>
      <c r="AA58" s="337">
        <v>0</v>
      </c>
      <c r="AB58" s="337">
        <v>0</v>
      </c>
      <c r="AC58" s="157">
        <f t="shared" si="33"/>
        <v>0</v>
      </c>
      <c r="AD58" s="337">
        <v>0</v>
      </c>
      <c r="AE58" s="337">
        <v>0</v>
      </c>
      <c r="AF58" s="337">
        <v>0</v>
      </c>
      <c r="AG58" s="337">
        <v>0</v>
      </c>
      <c r="AH58" s="157">
        <f t="shared" si="45"/>
        <v>0</v>
      </c>
      <c r="AI58" s="337">
        <v>0</v>
      </c>
      <c r="AJ58" s="337">
        <v>0</v>
      </c>
      <c r="AK58" s="337">
        <v>0</v>
      </c>
      <c r="AL58" s="337">
        <v>-13500000</v>
      </c>
      <c r="AM58" s="157">
        <f t="shared" si="35"/>
        <v>-13500000</v>
      </c>
      <c r="AN58" s="337">
        <v>0</v>
      </c>
      <c r="AO58" s="337">
        <v>0</v>
      </c>
      <c r="AP58" s="337">
        <v>0</v>
      </c>
      <c r="AQ58" s="337">
        <v>0</v>
      </c>
      <c r="AR58" s="157">
        <f t="shared" si="36"/>
        <v>0</v>
      </c>
      <c r="AS58" s="337">
        <v>0</v>
      </c>
      <c r="AT58" s="337">
        <v>0</v>
      </c>
      <c r="AU58" s="337">
        <v>0</v>
      </c>
      <c r="AV58" s="337">
        <v>0</v>
      </c>
      <c r="AW58" s="157">
        <f t="shared" si="37"/>
        <v>0</v>
      </c>
      <c r="AX58" s="337">
        <v>0</v>
      </c>
      <c r="AY58" s="337">
        <v>0</v>
      </c>
      <c r="AZ58" s="337">
        <v>0</v>
      </c>
      <c r="BA58" s="337">
        <v>0</v>
      </c>
      <c r="BB58" s="157">
        <f t="shared" si="38"/>
        <v>0</v>
      </c>
      <c r="BC58" s="337">
        <v>0</v>
      </c>
      <c r="BD58" s="337">
        <v>0</v>
      </c>
      <c r="BE58" s="337">
        <v>0</v>
      </c>
      <c r="BF58" s="337">
        <v>0</v>
      </c>
      <c r="BG58" s="157">
        <f t="shared" si="39"/>
        <v>0</v>
      </c>
      <c r="BH58" s="337">
        <v>0</v>
      </c>
      <c r="BI58" s="337">
        <v>0</v>
      </c>
      <c r="BJ58" s="337">
        <v>0</v>
      </c>
      <c r="BK58" s="337">
        <v>0</v>
      </c>
      <c r="BL58" s="157">
        <f t="shared" si="40"/>
        <v>0</v>
      </c>
      <c r="BM58" s="337">
        <v>0</v>
      </c>
      <c r="BN58" s="337">
        <v>0</v>
      </c>
      <c r="BO58" s="337">
        <v>0</v>
      </c>
      <c r="BP58" s="337">
        <v>0</v>
      </c>
      <c r="BQ58" s="157">
        <f t="shared" si="41"/>
        <v>0</v>
      </c>
      <c r="BR58" s="337">
        <f t="shared" si="42"/>
        <v>0</v>
      </c>
      <c r="BS58" s="337">
        <f t="shared" si="42"/>
        <v>0</v>
      </c>
      <c r="BT58" s="337">
        <f t="shared" si="42"/>
        <v>0</v>
      </c>
      <c r="BU58" s="337">
        <f t="shared" si="42"/>
        <v>0</v>
      </c>
      <c r="BV58" s="157">
        <f t="shared" ref="BV58:BV63" si="46">SUM(BR58:BU58)</f>
        <v>0</v>
      </c>
      <c r="BW58" s="129"/>
      <c r="BX58" s="368">
        <v>0</v>
      </c>
    </row>
    <row r="59" spans="1:78" x14ac:dyDescent="0.2">
      <c r="A59" s="303" t="s">
        <v>317</v>
      </c>
      <c r="B59" s="325"/>
      <c r="C59" s="281"/>
      <c r="D59" s="320" t="s">
        <v>119</v>
      </c>
      <c r="E59" s="337">
        <v>0</v>
      </c>
      <c r="F59" s="337">
        <v>0</v>
      </c>
      <c r="G59" s="337">
        <v>0</v>
      </c>
      <c r="H59" s="337">
        <v>0</v>
      </c>
      <c r="I59" s="157">
        <f t="shared" si="44"/>
        <v>0</v>
      </c>
      <c r="J59" s="338">
        <v>0</v>
      </c>
      <c r="K59" s="337">
        <v>0</v>
      </c>
      <c r="L59" s="337">
        <v>0</v>
      </c>
      <c r="M59" s="337">
        <v>0</v>
      </c>
      <c r="N59" s="157">
        <f t="shared" si="30"/>
        <v>0</v>
      </c>
      <c r="O59" s="337">
        <v>0</v>
      </c>
      <c r="P59" s="337">
        <v>0</v>
      </c>
      <c r="Q59" s="337">
        <v>0</v>
      </c>
      <c r="R59" s="337">
        <v>0</v>
      </c>
      <c r="S59" s="157">
        <f>SUM(O59:R59)</f>
        <v>0</v>
      </c>
      <c r="T59" s="337">
        <v>0</v>
      </c>
      <c r="U59" s="337">
        <v>0</v>
      </c>
      <c r="V59" s="337">
        <v>0</v>
      </c>
      <c r="W59" s="337">
        <v>0</v>
      </c>
      <c r="X59" s="157">
        <f t="shared" si="32"/>
        <v>0</v>
      </c>
      <c r="Y59" s="337">
        <v>0</v>
      </c>
      <c r="Z59" s="337">
        <v>0</v>
      </c>
      <c r="AA59" s="337">
        <v>0</v>
      </c>
      <c r="AB59" s="337">
        <v>0</v>
      </c>
      <c r="AC59" s="157">
        <f>SUM(Y59:AB59)</f>
        <v>0</v>
      </c>
      <c r="AD59" s="337">
        <f t="shared" ref="AD59:AI59" si="47">SUM(AD60:AD63)</f>
        <v>0</v>
      </c>
      <c r="AE59" s="337">
        <f t="shared" si="47"/>
        <v>0</v>
      </c>
      <c r="AF59" s="337">
        <f t="shared" si="47"/>
        <v>0</v>
      </c>
      <c r="AG59" s="337">
        <f t="shared" si="47"/>
        <v>3800000</v>
      </c>
      <c r="AH59" s="157">
        <f t="shared" si="47"/>
        <v>3800000</v>
      </c>
      <c r="AI59" s="337">
        <f t="shared" si="47"/>
        <v>0</v>
      </c>
      <c r="AJ59" s="337">
        <f>SUM(AJ60:AJ62)</f>
        <v>0</v>
      </c>
      <c r="AK59" s="337">
        <f>SUM(AK60:AK62)</f>
        <v>0</v>
      </c>
      <c r="AL59" s="337">
        <f>SUM(AL60:AL62)</f>
        <v>3800000</v>
      </c>
      <c r="AM59" s="157">
        <f>SUM(AM60:AM62)</f>
        <v>3800000</v>
      </c>
      <c r="AN59" s="337">
        <v>0</v>
      </c>
      <c r="AO59" s="337">
        <v>0</v>
      </c>
      <c r="AP59" s="337">
        <v>0</v>
      </c>
      <c r="AQ59" s="337">
        <v>0</v>
      </c>
      <c r="AR59" s="157">
        <f t="shared" si="36"/>
        <v>0</v>
      </c>
      <c r="AS59" s="337">
        <v>0</v>
      </c>
      <c r="AT59" s="337">
        <v>0</v>
      </c>
      <c r="AU59" s="337">
        <v>0</v>
      </c>
      <c r="AV59" s="337">
        <v>0</v>
      </c>
      <c r="AW59" s="157">
        <f t="shared" si="37"/>
        <v>0</v>
      </c>
      <c r="AX59" s="337">
        <v>0</v>
      </c>
      <c r="AY59" s="337">
        <v>0</v>
      </c>
      <c r="AZ59" s="337">
        <v>0</v>
      </c>
      <c r="BA59" s="337">
        <v>0</v>
      </c>
      <c r="BB59" s="157">
        <f t="shared" si="38"/>
        <v>0</v>
      </c>
      <c r="BC59" s="337">
        <v>0</v>
      </c>
      <c r="BD59" s="337">
        <v>0</v>
      </c>
      <c r="BE59" s="337">
        <v>0</v>
      </c>
      <c r="BF59" s="337">
        <v>0</v>
      </c>
      <c r="BG59" s="157">
        <f t="shared" si="39"/>
        <v>0</v>
      </c>
      <c r="BH59" s="337">
        <v>0</v>
      </c>
      <c r="BI59" s="337">
        <v>0</v>
      </c>
      <c r="BJ59" s="337">
        <v>0</v>
      </c>
      <c r="BK59" s="337">
        <v>0</v>
      </c>
      <c r="BL59" s="157">
        <f t="shared" si="40"/>
        <v>0</v>
      </c>
      <c r="BM59" s="337">
        <v>0</v>
      </c>
      <c r="BN59" s="337">
        <v>0</v>
      </c>
      <c r="BO59" s="337">
        <v>0</v>
      </c>
      <c r="BP59" s="337">
        <v>0</v>
      </c>
      <c r="BQ59" s="157">
        <f t="shared" si="41"/>
        <v>0</v>
      </c>
      <c r="BR59" s="337">
        <f>+J59+O59+T59+Y59+AD59+AI59+AN59+AS59+AX59+BC59+BH59+BM59</f>
        <v>0</v>
      </c>
      <c r="BS59" s="337">
        <f t="shared" si="42"/>
        <v>0</v>
      </c>
      <c r="BT59" s="337">
        <f t="shared" si="42"/>
        <v>0</v>
      </c>
      <c r="BU59" s="337">
        <f t="shared" si="42"/>
        <v>7600000</v>
      </c>
      <c r="BV59" s="157">
        <f t="shared" si="46"/>
        <v>7600000</v>
      </c>
      <c r="BW59" s="129"/>
      <c r="BX59" s="368">
        <v>0</v>
      </c>
    </row>
    <row r="60" spans="1:78" x14ac:dyDescent="0.2">
      <c r="A60" s="329" t="s">
        <v>318</v>
      </c>
      <c r="B60" s="325"/>
      <c r="C60" s="281"/>
      <c r="D60" s="320"/>
      <c r="E60" s="337">
        <v>0</v>
      </c>
      <c r="F60" s="337">
        <v>0</v>
      </c>
      <c r="G60" s="337">
        <v>0</v>
      </c>
      <c r="H60" s="337">
        <v>0</v>
      </c>
      <c r="I60" s="157">
        <f>SUM(E60:H60)</f>
        <v>0</v>
      </c>
      <c r="J60" s="338">
        <v>0</v>
      </c>
      <c r="K60" s="337">
        <v>0</v>
      </c>
      <c r="L60" s="337">
        <v>0</v>
      </c>
      <c r="M60" s="337">
        <v>0</v>
      </c>
      <c r="N60" s="157">
        <f t="shared" si="30"/>
        <v>0</v>
      </c>
      <c r="O60" s="337">
        <v>0</v>
      </c>
      <c r="P60" s="337">
        <v>0</v>
      </c>
      <c r="Q60" s="337">
        <v>0</v>
      </c>
      <c r="R60" s="337">
        <v>0</v>
      </c>
      <c r="S60" s="157">
        <f>SUM(O60:R60)</f>
        <v>0</v>
      </c>
      <c r="T60" s="337">
        <v>0</v>
      </c>
      <c r="U60" s="337">
        <v>0</v>
      </c>
      <c r="V60" s="337">
        <v>0</v>
      </c>
      <c r="W60" s="337">
        <v>0</v>
      </c>
      <c r="X60" s="157">
        <f t="shared" si="32"/>
        <v>0</v>
      </c>
      <c r="Y60" s="337">
        <v>0</v>
      </c>
      <c r="Z60" s="337">
        <v>0</v>
      </c>
      <c r="AA60" s="337">
        <v>0</v>
      </c>
      <c r="AB60" s="337">
        <v>0</v>
      </c>
      <c r="AC60" s="157">
        <f>SUM(Y60:AB60)</f>
        <v>0</v>
      </c>
      <c r="AD60" s="334">
        <v>0</v>
      </c>
      <c r="AE60" s="334">
        <v>0</v>
      </c>
      <c r="AF60" s="334">
        <v>0</v>
      </c>
      <c r="AG60" s="334">
        <v>2000000</v>
      </c>
      <c r="AH60" s="187">
        <f t="shared" si="45"/>
        <v>2000000</v>
      </c>
      <c r="AI60" s="337">
        <v>0</v>
      </c>
      <c r="AJ60" s="337">
        <v>0</v>
      </c>
      <c r="AK60" s="337">
        <v>0</v>
      </c>
      <c r="AL60" s="334">
        <v>3500000</v>
      </c>
      <c r="AM60" s="187">
        <f>SUM(AI60:AL60)</f>
        <v>3500000</v>
      </c>
      <c r="AN60" s="337">
        <v>0</v>
      </c>
      <c r="AO60" s="337">
        <v>0</v>
      </c>
      <c r="AP60" s="337">
        <v>0</v>
      </c>
      <c r="AQ60" s="337">
        <v>0</v>
      </c>
      <c r="AR60" s="157">
        <f t="shared" si="36"/>
        <v>0</v>
      </c>
      <c r="AS60" s="337">
        <v>0</v>
      </c>
      <c r="AT60" s="337">
        <v>0</v>
      </c>
      <c r="AU60" s="337">
        <v>0</v>
      </c>
      <c r="AV60" s="337">
        <v>0</v>
      </c>
      <c r="AW60" s="157">
        <f t="shared" si="37"/>
        <v>0</v>
      </c>
      <c r="AX60" s="337">
        <v>0</v>
      </c>
      <c r="AY60" s="337">
        <v>0</v>
      </c>
      <c r="AZ60" s="337">
        <v>0</v>
      </c>
      <c r="BA60" s="337">
        <v>0</v>
      </c>
      <c r="BB60" s="157">
        <f t="shared" si="38"/>
        <v>0</v>
      </c>
      <c r="BC60" s="337">
        <v>0</v>
      </c>
      <c r="BD60" s="337">
        <v>0</v>
      </c>
      <c r="BE60" s="337">
        <v>0</v>
      </c>
      <c r="BF60" s="337">
        <v>0</v>
      </c>
      <c r="BG60" s="157">
        <f t="shared" si="39"/>
        <v>0</v>
      </c>
      <c r="BH60" s="337">
        <v>0</v>
      </c>
      <c r="BI60" s="337">
        <v>0</v>
      </c>
      <c r="BJ60" s="337">
        <v>0</v>
      </c>
      <c r="BK60" s="337">
        <v>0</v>
      </c>
      <c r="BL60" s="157">
        <f t="shared" si="40"/>
        <v>0</v>
      </c>
      <c r="BM60" s="337">
        <v>0</v>
      </c>
      <c r="BN60" s="337">
        <v>0</v>
      </c>
      <c r="BO60" s="337">
        <v>0</v>
      </c>
      <c r="BP60" s="337">
        <v>0</v>
      </c>
      <c r="BQ60" s="157">
        <f t="shared" si="41"/>
        <v>0</v>
      </c>
      <c r="BR60" s="334">
        <f t="shared" ref="BR60:BU67" si="48">+J60+O60+T60+Y60+AD60+AI60+AN60+AS60+AX60+BC60+BH60+BM60</f>
        <v>0</v>
      </c>
      <c r="BS60" s="334">
        <f t="shared" si="48"/>
        <v>0</v>
      </c>
      <c r="BT60" s="334">
        <f t="shared" si="48"/>
        <v>0</v>
      </c>
      <c r="BU60" s="334">
        <f>+M60+R60+W60+AB60+AG60+AL60+AQ60+AV60+BA60+BF60+BK60+BP60</f>
        <v>5500000</v>
      </c>
      <c r="BV60" s="187">
        <f t="shared" si="46"/>
        <v>5500000</v>
      </c>
      <c r="BW60" s="129"/>
      <c r="BX60" s="368">
        <v>0</v>
      </c>
    </row>
    <row r="61" spans="1:78" x14ac:dyDescent="0.2">
      <c r="A61" s="329" t="s">
        <v>319</v>
      </c>
      <c r="B61" s="325"/>
      <c r="C61" s="281"/>
      <c r="D61" s="320"/>
      <c r="E61" s="337">
        <v>0</v>
      </c>
      <c r="F61" s="337">
        <v>0</v>
      </c>
      <c r="G61" s="337">
        <v>0</v>
      </c>
      <c r="H61" s="337">
        <v>0</v>
      </c>
      <c r="I61" s="157">
        <f>SUM(E61:H61)</f>
        <v>0</v>
      </c>
      <c r="J61" s="338">
        <v>0</v>
      </c>
      <c r="K61" s="337">
        <v>0</v>
      </c>
      <c r="L61" s="337">
        <v>0</v>
      </c>
      <c r="M61" s="337">
        <v>0</v>
      </c>
      <c r="N61" s="157">
        <f t="shared" si="30"/>
        <v>0</v>
      </c>
      <c r="O61" s="337">
        <v>0</v>
      </c>
      <c r="P61" s="337">
        <v>0</v>
      </c>
      <c r="Q61" s="337">
        <v>0</v>
      </c>
      <c r="R61" s="337">
        <v>0</v>
      </c>
      <c r="S61" s="157">
        <f>SUM(O61:R61)</f>
        <v>0</v>
      </c>
      <c r="T61" s="337">
        <v>0</v>
      </c>
      <c r="U61" s="337">
        <v>0</v>
      </c>
      <c r="V61" s="337">
        <v>0</v>
      </c>
      <c r="W61" s="337">
        <v>0</v>
      </c>
      <c r="X61" s="157">
        <f t="shared" si="32"/>
        <v>0</v>
      </c>
      <c r="Y61" s="337">
        <v>0</v>
      </c>
      <c r="Z61" s="337">
        <v>0</v>
      </c>
      <c r="AA61" s="337">
        <v>0</v>
      </c>
      <c r="AB61" s="337">
        <v>0</v>
      </c>
      <c r="AC61" s="157">
        <f>SUM(Y61:AB61)</f>
        <v>0</v>
      </c>
      <c r="AD61" s="334">
        <v>0</v>
      </c>
      <c r="AE61" s="334">
        <v>0</v>
      </c>
      <c r="AF61" s="334">
        <v>0</v>
      </c>
      <c r="AG61" s="334">
        <v>0</v>
      </c>
      <c r="AH61" s="187">
        <f t="shared" si="45"/>
        <v>0</v>
      </c>
      <c r="AI61" s="337">
        <v>0</v>
      </c>
      <c r="AJ61" s="337">
        <v>0</v>
      </c>
      <c r="AK61" s="337">
        <v>0</v>
      </c>
      <c r="AL61" s="334">
        <v>300000</v>
      </c>
      <c r="AM61" s="187">
        <f>SUM(AI61:AL61)</f>
        <v>300000</v>
      </c>
      <c r="AN61" s="337">
        <v>0</v>
      </c>
      <c r="AO61" s="337">
        <v>0</v>
      </c>
      <c r="AP61" s="337">
        <v>0</v>
      </c>
      <c r="AQ61" s="337">
        <v>0</v>
      </c>
      <c r="AR61" s="157">
        <f t="shared" si="36"/>
        <v>0</v>
      </c>
      <c r="AS61" s="337">
        <v>0</v>
      </c>
      <c r="AT61" s="337">
        <v>0</v>
      </c>
      <c r="AU61" s="337">
        <v>0</v>
      </c>
      <c r="AV61" s="337">
        <v>0</v>
      </c>
      <c r="AW61" s="157">
        <f t="shared" si="37"/>
        <v>0</v>
      </c>
      <c r="AX61" s="337">
        <v>0</v>
      </c>
      <c r="AY61" s="337">
        <v>0</v>
      </c>
      <c r="AZ61" s="337">
        <v>0</v>
      </c>
      <c r="BA61" s="337">
        <v>0</v>
      </c>
      <c r="BB61" s="157">
        <f t="shared" si="38"/>
        <v>0</v>
      </c>
      <c r="BC61" s="337">
        <v>0</v>
      </c>
      <c r="BD61" s="337">
        <v>0</v>
      </c>
      <c r="BE61" s="337">
        <v>0</v>
      </c>
      <c r="BF61" s="337">
        <v>0</v>
      </c>
      <c r="BG61" s="157">
        <f t="shared" si="39"/>
        <v>0</v>
      </c>
      <c r="BH61" s="337">
        <v>0</v>
      </c>
      <c r="BI61" s="337">
        <v>0</v>
      </c>
      <c r="BJ61" s="337">
        <v>0</v>
      </c>
      <c r="BK61" s="337">
        <v>0</v>
      </c>
      <c r="BL61" s="157">
        <f t="shared" si="40"/>
        <v>0</v>
      </c>
      <c r="BM61" s="337">
        <v>0</v>
      </c>
      <c r="BN61" s="337">
        <v>0</v>
      </c>
      <c r="BO61" s="337">
        <v>0</v>
      </c>
      <c r="BP61" s="337">
        <v>0</v>
      </c>
      <c r="BQ61" s="157">
        <f t="shared" si="41"/>
        <v>0</v>
      </c>
      <c r="BR61" s="334">
        <f t="shared" si="48"/>
        <v>0</v>
      </c>
      <c r="BS61" s="334">
        <f t="shared" si="48"/>
        <v>0</v>
      </c>
      <c r="BT61" s="334">
        <f t="shared" si="48"/>
        <v>0</v>
      </c>
      <c r="BU61" s="334">
        <f t="shared" si="48"/>
        <v>300000</v>
      </c>
      <c r="BV61" s="187">
        <f t="shared" si="46"/>
        <v>300000</v>
      </c>
      <c r="BW61" s="129"/>
      <c r="BX61" s="368">
        <v>0</v>
      </c>
    </row>
    <row r="62" spans="1:78" x14ac:dyDescent="0.2">
      <c r="A62" s="329" t="s">
        <v>320</v>
      </c>
      <c r="B62" s="325"/>
      <c r="C62" s="281"/>
      <c r="D62" s="320"/>
      <c r="E62" s="337">
        <v>0</v>
      </c>
      <c r="F62" s="337">
        <v>0</v>
      </c>
      <c r="G62" s="337">
        <v>0</v>
      </c>
      <c r="H62" s="337">
        <v>0</v>
      </c>
      <c r="I62" s="157">
        <f>SUM(E62:H62)</f>
        <v>0</v>
      </c>
      <c r="J62" s="338">
        <v>0</v>
      </c>
      <c r="K62" s="337">
        <v>0</v>
      </c>
      <c r="L62" s="337">
        <v>0</v>
      </c>
      <c r="M62" s="337">
        <v>0</v>
      </c>
      <c r="N62" s="157">
        <f t="shared" si="30"/>
        <v>0</v>
      </c>
      <c r="O62" s="337">
        <v>0</v>
      </c>
      <c r="P62" s="337">
        <v>0</v>
      </c>
      <c r="Q62" s="337">
        <v>0</v>
      </c>
      <c r="R62" s="337">
        <v>0</v>
      </c>
      <c r="S62" s="157">
        <v>0</v>
      </c>
      <c r="T62" s="337">
        <v>0</v>
      </c>
      <c r="U62" s="337">
        <v>0</v>
      </c>
      <c r="V62" s="337">
        <v>0</v>
      </c>
      <c r="W62" s="337">
        <v>0</v>
      </c>
      <c r="X62" s="157">
        <v>0</v>
      </c>
      <c r="Y62" s="337">
        <v>0</v>
      </c>
      <c r="Z62" s="337">
        <v>0</v>
      </c>
      <c r="AA62" s="337">
        <v>0</v>
      </c>
      <c r="AB62" s="337">
        <v>0</v>
      </c>
      <c r="AC62" s="157">
        <v>0</v>
      </c>
      <c r="AD62" s="334">
        <v>0</v>
      </c>
      <c r="AE62" s="334">
        <v>0</v>
      </c>
      <c r="AF62" s="334">
        <v>0</v>
      </c>
      <c r="AG62" s="334">
        <v>1800000</v>
      </c>
      <c r="AH62" s="187">
        <f t="shared" si="45"/>
        <v>1800000</v>
      </c>
      <c r="AI62" s="337">
        <v>0</v>
      </c>
      <c r="AJ62" s="337">
        <v>0</v>
      </c>
      <c r="AK62" s="337">
        <v>0</v>
      </c>
      <c r="AL62" s="337">
        <v>0</v>
      </c>
      <c r="AM62" s="157">
        <f>SUM(AI62:AL62)</f>
        <v>0</v>
      </c>
      <c r="AN62" s="337">
        <v>0</v>
      </c>
      <c r="AO62" s="337">
        <v>0</v>
      </c>
      <c r="AP62" s="337">
        <v>0</v>
      </c>
      <c r="AQ62" s="337">
        <v>0</v>
      </c>
      <c r="AR62" s="157">
        <f t="shared" si="36"/>
        <v>0</v>
      </c>
      <c r="AS62" s="337">
        <v>0</v>
      </c>
      <c r="AT62" s="337">
        <v>0</v>
      </c>
      <c r="AU62" s="337">
        <v>0</v>
      </c>
      <c r="AV62" s="337">
        <v>0</v>
      </c>
      <c r="AW62" s="157">
        <f t="shared" si="37"/>
        <v>0</v>
      </c>
      <c r="AX62" s="337">
        <v>0</v>
      </c>
      <c r="AY62" s="337">
        <v>0</v>
      </c>
      <c r="AZ62" s="337">
        <v>0</v>
      </c>
      <c r="BA62" s="337">
        <v>0</v>
      </c>
      <c r="BB62" s="157">
        <f t="shared" si="38"/>
        <v>0</v>
      </c>
      <c r="BC62" s="337">
        <v>0</v>
      </c>
      <c r="BD62" s="337">
        <v>0</v>
      </c>
      <c r="BE62" s="337">
        <v>0</v>
      </c>
      <c r="BF62" s="337">
        <v>0</v>
      </c>
      <c r="BG62" s="157">
        <f t="shared" si="39"/>
        <v>0</v>
      </c>
      <c r="BH62" s="337">
        <v>0</v>
      </c>
      <c r="BI62" s="337">
        <v>0</v>
      </c>
      <c r="BJ62" s="337">
        <v>0</v>
      </c>
      <c r="BK62" s="337">
        <v>0</v>
      </c>
      <c r="BL62" s="157">
        <f t="shared" si="40"/>
        <v>0</v>
      </c>
      <c r="BM62" s="337">
        <v>0</v>
      </c>
      <c r="BN62" s="337">
        <v>0</v>
      </c>
      <c r="BO62" s="337">
        <v>0</v>
      </c>
      <c r="BP62" s="337">
        <v>0</v>
      </c>
      <c r="BQ62" s="157">
        <f t="shared" si="41"/>
        <v>0</v>
      </c>
      <c r="BR62" s="334">
        <f t="shared" si="48"/>
        <v>0</v>
      </c>
      <c r="BS62" s="334">
        <f t="shared" si="48"/>
        <v>0</v>
      </c>
      <c r="BT62" s="334">
        <f t="shared" si="48"/>
        <v>0</v>
      </c>
      <c r="BU62" s="334">
        <f t="shared" si="48"/>
        <v>1800000</v>
      </c>
      <c r="BV62" s="187">
        <f t="shared" si="46"/>
        <v>1800000</v>
      </c>
      <c r="BW62" s="129"/>
      <c r="BX62" s="368">
        <v>0</v>
      </c>
    </row>
    <row r="63" spans="1:78" hidden="1" x14ac:dyDescent="0.2">
      <c r="A63" s="329" t="s">
        <v>321</v>
      </c>
      <c r="B63" s="325"/>
      <c r="C63" s="281"/>
      <c r="D63" s="320"/>
      <c r="E63" s="337">
        <v>0</v>
      </c>
      <c r="F63" s="337">
        <v>0</v>
      </c>
      <c r="G63" s="337">
        <v>0</v>
      </c>
      <c r="H63" s="337">
        <v>0</v>
      </c>
      <c r="I63" s="157">
        <f>SUM(E63:H63)</f>
        <v>0</v>
      </c>
      <c r="J63" s="338">
        <v>0</v>
      </c>
      <c r="K63" s="337">
        <v>0</v>
      </c>
      <c r="L63" s="337">
        <v>0</v>
      </c>
      <c r="M63" s="337">
        <v>0</v>
      </c>
      <c r="N63" s="157">
        <f t="shared" si="30"/>
        <v>0</v>
      </c>
      <c r="O63" s="337">
        <v>0</v>
      </c>
      <c r="P63" s="337">
        <v>0</v>
      </c>
      <c r="Q63" s="337">
        <v>0</v>
      </c>
      <c r="R63" s="337">
        <v>0</v>
      </c>
      <c r="S63" s="157">
        <f>SUM(O63:R63)</f>
        <v>0</v>
      </c>
      <c r="T63" s="337">
        <v>0</v>
      </c>
      <c r="U63" s="337">
        <v>0</v>
      </c>
      <c r="V63" s="337">
        <v>0</v>
      </c>
      <c r="W63" s="337">
        <v>0</v>
      </c>
      <c r="X63" s="157">
        <f t="shared" si="32"/>
        <v>0</v>
      </c>
      <c r="Y63" s="337">
        <v>0</v>
      </c>
      <c r="Z63" s="337">
        <v>0</v>
      </c>
      <c r="AA63" s="337">
        <v>0</v>
      </c>
      <c r="AB63" s="337">
        <v>0</v>
      </c>
      <c r="AC63" s="157">
        <f>SUM(Y63:AB63)</f>
        <v>0</v>
      </c>
      <c r="AD63" s="334">
        <v>0</v>
      </c>
      <c r="AE63" s="334">
        <v>0</v>
      </c>
      <c r="AF63" s="334">
        <v>0</v>
      </c>
      <c r="AG63" s="334">
        <v>0</v>
      </c>
      <c r="AH63" s="187">
        <f t="shared" si="45"/>
        <v>0</v>
      </c>
      <c r="AI63" s="337">
        <v>0</v>
      </c>
      <c r="AJ63" s="337">
        <v>0</v>
      </c>
      <c r="AK63" s="337">
        <v>0</v>
      </c>
      <c r="AL63" s="337">
        <v>0</v>
      </c>
      <c r="AM63" s="157">
        <f t="shared" si="35"/>
        <v>0</v>
      </c>
      <c r="AN63" s="337">
        <v>0</v>
      </c>
      <c r="AO63" s="337">
        <v>0</v>
      </c>
      <c r="AP63" s="337">
        <v>0</v>
      </c>
      <c r="AQ63" s="337">
        <v>0</v>
      </c>
      <c r="AR63" s="157">
        <f t="shared" si="36"/>
        <v>0</v>
      </c>
      <c r="AS63" s="337">
        <v>0</v>
      </c>
      <c r="AT63" s="337">
        <v>0</v>
      </c>
      <c r="AU63" s="337">
        <v>0</v>
      </c>
      <c r="AV63" s="337">
        <v>0</v>
      </c>
      <c r="AW63" s="157">
        <f t="shared" si="37"/>
        <v>0</v>
      </c>
      <c r="AX63" s="337">
        <v>0</v>
      </c>
      <c r="AY63" s="337">
        <v>0</v>
      </c>
      <c r="AZ63" s="337">
        <v>0</v>
      </c>
      <c r="BA63" s="337">
        <v>0</v>
      </c>
      <c r="BB63" s="157">
        <f t="shared" si="38"/>
        <v>0</v>
      </c>
      <c r="BC63" s="337">
        <v>0</v>
      </c>
      <c r="BD63" s="337">
        <v>0</v>
      </c>
      <c r="BE63" s="337">
        <v>0</v>
      </c>
      <c r="BF63" s="337">
        <v>0</v>
      </c>
      <c r="BG63" s="157">
        <f t="shared" si="39"/>
        <v>0</v>
      </c>
      <c r="BH63" s="337">
        <v>0</v>
      </c>
      <c r="BI63" s="337">
        <v>0</v>
      </c>
      <c r="BJ63" s="337">
        <v>0</v>
      </c>
      <c r="BK63" s="337">
        <v>0</v>
      </c>
      <c r="BL63" s="157">
        <f t="shared" si="40"/>
        <v>0</v>
      </c>
      <c r="BM63" s="337">
        <v>0</v>
      </c>
      <c r="BN63" s="337">
        <v>0</v>
      </c>
      <c r="BO63" s="337">
        <v>0</v>
      </c>
      <c r="BP63" s="337">
        <v>0</v>
      </c>
      <c r="BQ63" s="157">
        <f t="shared" si="41"/>
        <v>0</v>
      </c>
      <c r="BR63" s="334">
        <f t="shared" si="48"/>
        <v>0</v>
      </c>
      <c r="BS63" s="334">
        <f t="shared" si="48"/>
        <v>0</v>
      </c>
      <c r="BT63" s="334">
        <f t="shared" si="48"/>
        <v>0</v>
      </c>
      <c r="BU63" s="334">
        <f t="shared" si="48"/>
        <v>0</v>
      </c>
      <c r="BV63" s="187">
        <f t="shared" si="46"/>
        <v>0</v>
      </c>
      <c r="BW63" s="129"/>
      <c r="BX63" s="368">
        <v>0</v>
      </c>
    </row>
    <row r="64" spans="1:78" x14ac:dyDescent="0.2">
      <c r="A64" s="303" t="s">
        <v>279</v>
      </c>
      <c r="B64" s="325"/>
      <c r="C64" s="325"/>
      <c r="D64" s="323"/>
      <c r="E64" s="337">
        <v>0</v>
      </c>
      <c r="F64" s="337">
        <v>18283843</v>
      </c>
      <c r="G64" s="337">
        <v>0</v>
      </c>
      <c r="H64" s="337">
        <v>0</v>
      </c>
      <c r="I64" s="157">
        <f t="shared" si="44"/>
        <v>18283843</v>
      </c>
      <c r="J64" s="338">
        <v>0</v>
      </c>
      <c r="K64" s="337">
        <v>1549593</v>
      </c>
      <c r="L64" s="337">
        <v>0</v>
      </c>
      <c r="M64" s="337">
        <v>0</v>
      </c>
      <c r="N64" s="157">
        <f t="shared" si="30"/>
        <v>1549593</v>
      </c>
      <c r="O64" s="337">
        <v>0</v>
      </c>
      <c r="P64" s="337">
        <v>1486615</v>
      </c>
      <c r="Q64" s="337">
        <v>0</v>
      </c>
      <c r="R64" s="337">
        <v>0</v>
      </c>
      <c r="S64" s="157">
        <f t="shared" si="31"/>
        <v>1486615</v>
      </c>
      <c r="T64" s="337">
        <v>0</v>
      </c>
      <c r="U64" s="337">
        <v>1412283</v>
      </c>
      <c r="V64" s="337">
        <v>0</v>
      </c>
      <c r="W64" s="337">
        <v>0</v>
      </c>
      <c r="X64" s="157">
        <f t="shared" si="32"/>
        <v>1412283</v>
      </c>
      <c r="Y64" s="337">
        <v>0</v>
      </c>
      <c r="Z64" s="337">
        <v>1388691</v>
      </c>
      <c r="AA64" s="337">
        <v>0</v>
      </c>
      <c r="AB64" s="337">
        <v>0</v>
      </c>
      <c r="AC64" s="157">
        <f t="shared" si="33"/>
        <v>1388691</v>
      </c>
      <c r="AD64" s="334">
        <v>0</v>
      </c>
      <c r="AE64" s="334">
        <v>1443945</v>
      </c>
      <c r="AF64" s="337">
        <v>0</v>
      </c>
      <c r="AG64" s="337">
        <v>0</v>
      </c>
      <c r="AH64" s="157">
        <f t="shared" si="45"/>
        <v>1443945</v>
      </c>
      <c r="AI64" s="337">
        <v>0</v>
      </c>
      <c r="AJ64" s="337">
        <v>1524417</v>
      </c>
      <c r="AK64" s="337">
        <v>0</v>
      </c>
      <c r="AL64" s="337">
        <v>0</v>
      </c>
      <c r="AM64" s="157">
        <f t="shared" si="35"/>
        <v>1524417</v>
      </c>
      <c r="AN64" s="337">
        <v>0</v>
      </c>
      <c r="AO64" s="337">
        <v>0</v>
      </c>
      <c r="AP64" s="337">
        <v>0</v>
      </c>
      <c r="AQ64" s="337">
        <v>0</v>
      </c>
      <c r="AR64" s="157">
        <f t="shared" si="36"/>
        <v>0</v>
      </c>
      <c r="AS64" s="337">
        <v>0</v>
      </c>
      <c r="AT64" s="337">
        <v>0</v>
      </c>
      <c r="AU64" s="337">
        <v>0</v>
      </c>
      <c r="AV64" s="337">
        <v>0</v>
      </c>
      <c r="AW64" s="157">
        <f t="shared" si="37"/>
        <v>0</v>
      </c>
      <c r="AX64" s="337">
        <v>0</v>
      </c>
      <c r="AY64" s="337">
        <v>0</v>
      </c>
      <c r="AZ64" s="337">
        <v>0</v>
      </c>
      <c r="BA64" s="337">
        <v>0</v>
      </c>
      <c r="BB64" s="157">
        <f t="shared" si="38"/>
        <v>0</v>
      </c>
      <c r="BC64" s="337">
        <v>0</v>
      </c>
      <c r="BD64" s="337">
        <v>0</v>
      </c>
      <c r="BE64" s="337">
        <v>0</v>
      </c>
      <c r="BF64" s="337">
        <v>0</v>
      </c>
      <c r="BG64" s="157">
        <f t="shared" si="39"/>
        <v>0</v>
      </c>
      <c r="BH64" s="337">
        <v>0</v>
      </c>
      <c r="BI64" s="337">
        <v>0</v>
      </c>
      <c r="BJ64" s="337">
        <v>0</v>
      </c>
      <c r="BK64" s="337">
        <v>0</v>
      </c>
      <c r="BL64" s="157">
        <f t="shared" si="40"/>
        <v>0</v>
      </c>
      <c r="BM64" s="337">
        <v>0</v>
      </c>
      <c r="BN64" s="337">
        <v>0</v>
      </c>
      <c r="BO64" s="337">
        <v>0</v>
      </c>
      <c r="BP64" s="337">
        <v>0</v>
      </c>
      <c r="BQ64" s="157">
        <f t="shared" si="41"/>
        <v>0</v>
      </c>
      <c r="BR64" s="337">
        <f t="shared" si="48"/>
        <v>0</v>
      </c>
      <c r="BS64" s="337">
        <f t="shared" si="48"/>
        <v>8805544</v>
      </c>
      <c r="BT64" s="337">
        <f t="shared" si="48"/>
        <v>0</v>
      </c>
      <c r="BU64" s="337">
        <f>+M64+R64+W64+AB64+AG64+AL64+AQ64+AV64+BA64+BF64+BK64+BP64</f>
        <v>0</v>
      </c>
      <c r="BV64" s="157">
        <f t="shared" si="43"/>
        <v>8805544</v>
      </c>
      <c r="BW64" s="129"/>
      <c r="BX64" s="368">
        <f>(BV64/I64)*100</f>
        <v>48.160247274055024</v>
      </c>
    </row>
    <row r="65" spans="1:76" x14ac:dyDescent="0.2">
      <c r="A65" s="303" t="s">
        <v>280</v>
      </c>
      <c r="B65" s="325"/>
      <c r="C65" s="281"/>
      <c r="D65" s="323"/>
      <c r="E65" s="337">
        <v>2074816</v>
      </c>
      <c r="F65" s="337">
        <v>23445</v>
      </c>
      <c r="G65" s="337">
        <v>0</v>
      </c>
      <c r="H65" s="337">
        <v>0</v>
      </c>
      <c r="I65" s="157">
        <f t="shared" si="44"/>
        <v>2098261</v>
      </c>
      <c r="J65" s="338">
        <v>169724</v>
      </c>
      <c r="K65" s="337">
        <v>936</v>
      </c>
      <c r="L65" s="337">
        <v>0</v>
      </c>
      <c r="M65" s="337">
        <v>0</v>
      </c>
      <c r="N65" s="157">
        <f t="shared" si="30"/>
        <v>170660</v>
      </c>
      <c r="O65" s="337">
        <v>170631</v>
      </c>
      <c r="P65" s="337">
        <v>1218</v>
      </c>
      <c r="Q65" s="337">
        <v>0</v>
      </c>
      <c r="R65" s="337">
        <v>0</v>
      </c>
      <c r="S65" s="157">
        <f t="shared" si="31"/>
        <v>171849</v>
      </c>
      <c r="T65" s="337">
        <v>168573</v>
      </c>
      <c r="U65" s="337">
        <v>369</v>
      </c>
      <c r="V65" s="337">
        <v>0</v>
      </c>
      <c r="W65" s="337">
        <v>0</v>
      </c>
      <c r="X65" s="157">
        <f t="shared" si="32"/>
        <v>168942</v>
      </c>
      <c r="Y65" s="337">
        <v>168429</v>
      </c>
      <c r="Z65" s="337">
        <v>4165</v>
      </c>
      <c r="AA65" s="337">
        <v>0</v>
      </c>
      <c r="AB65" s="337">
        <v>0</v>
      </c>
      <c r="AC65" s="157">
        <f t="shared" si="33"/>
        <v>172594</v>
      </c>
      <c r="AD65" s="334">
        <v>167158</v>
      </c>
      <c r="AE65" s="334">
        <v>2578</v>
      </c>
      <c r="AF65" s="337">
        <v>0</v>
      </c>
      <c r="AG65" s="337">
        <v>0</v>
      </c>
      <c r="AH65" s="157">
        <f t="shared" si="34"/>
        <v>169736</v>
      </c>
      <c r="AI65" s="337">
        <v>167552</v>
      </c>
      <c r="AJ65" s="337">
        <v>4228</v>
      </c>
      <c r="AK65" s="337">
        <v>0</v>
      </c>
      <c r="AL65" s="337">
        <v>0</v>
      </c>
      <c r="AM65" s="157">
        <f t="shared" si="35"/>
        <v>171780</v>
      </c>
      <c r="AN65" s="337">
        <v>0</v>
      </c>
      <c r="AO65" s="337">
        <v>0</v>
      </c>
      <c r="AP65" s="337">
        <v>0</v>
      </c>
      <c r="AQ65" s="337">
        <v>0</v>
      </c>
      <c r="AR65" s="157">
        <f t="shared" si="36"/>
        <v>0</v>
      </c>
      <c r="AS65" s="337">
        <v>0</v>
      </c>
      <c r="AT65" s="337">
        <v>0</v>
      </c>
      <c r="AU65" s="337">
        <v>0</v>
      </c>
      <c r="AV65" s="337">
        <v>0</v>
      </c>
      <c r="AW65" s="157">
        <f t="shared" si="37"/>
        <v>0</v>
      </c>
      <c r="AX65" s="337">
        <v>0</v>
      </c>
      <c r="AY65" s="337">
        <v>0</v>
      </c>
      <c r="AZ65" s="337">
        <v>0</v>
      </c>
      <c r="BA65" s="337">
        <v>0</v>
      </c>
      <c r="BB65" s="157">
        <f t="shared" si="38"/>
        <v>0</v>
      </c>
      <c r="BC65" s="337">
        <v>0</v>
      </c>
      <c r="BD65" s="337">
        <v>0</v>
      </c>
      <c r="BE65" s="337">
        <v>0</v>
      </c>
      <c r="BF65" s="337">
        <v>0</v>
      </c>
      <c r="BG65" s="157">
        <f t="shared" si="39"/>
        <v>0</v>
      </c>
      <c r="BH65" s="337">
        <v>0</v>
      </c>
      <c r="BI65" s="337">
        <v>0</v>
      </c>
      <c r="BJ65" s="337">
        <v>0</v>
      </c>
      <c r="BK65" s="337">
        <v>0</v>
      </c>
      <c r="BL65" s="157">
        <f t="shared" si="40"/>
        <v>0</v>
      </c>
      <c r="BM65" s="337">
        <v>0</v>
      </c>
      <c r="BN65" s="337">
        <v>0</v>
      </c>
      <c r="BO65" s="337">
        <v>0</v>
      </c>
      <c r="BP65" s="337">
        <v>0</v>
      </c>
      <c r="BQ65" s="157">
        <f>SUM(BM65:BP65)</f>
        <v>0</v>
      </c>
      <c r="BR65" s="337">
        <f t="shared" si="48"/>
        <v>1012067</v>
      </c>
      <c r="BS65" s="337">
        <f t="shared" si="48"/>
        <v>13494</v>
      </c>
      <c r="BT65" s="337">
        <f t="shared" si="48"/>
        <v>0</v>
      </c>
      <c r="BU65" s="337">
        <f>+M65+R65+W65+AB65+AG65+AL65+AQ65+AV65+BA65+BF65+BK65+BP65</f>
        <v>0</v>
      </c>
      <c r="BV65" s="157">
        <f t="shared" si="43"/>
        <v>1025561</v>
      </c>
      <c r="BW65" s="129"/>
      <c r="BX65" s="368">
        <f t="shared" si="15"/>
        <v>48.876712668252424</v>
      </c>
    </row>
    <row r="66" spans="1:76" x14ac:dyDescent="0.2">
      <c r="A66" s="340" t="s">
        <v>281</v>
      </c>
      <c r="B66" s="341"/>
      <c r="C66" s="281"/>
      <c r="D66" s="323"/>
      <c r="E66" s="337">
        <v>980047</v>
      </c>
      <c r="F66" s="337">
        <v>71738</v>
      </c>
      <c r="G66" s="337">
        <v>0</v>
      </c>
      <c r="H66" s="337">
        <v>0</v>
      </c>
      <c r="I66" s="157">
        <f t="shared" si="44"/>
        <v>1051785</v>
      </c>
      <c r="J66" s="338">
        <v>77886</v>
      </c>
      <c r="K66" s="337">
        <v>1909</v>
      </c>
      <c r="L66" s="337">
        <v>0</v>
      </c>
      <c r="M66" s="337">
        <v>0</v>
      </c>
      <c r="N66" s="157">
        <f t="shared" si="30"/>
        <v>79795</v>
      </c>
      <c r="O66" s="337">
        <v>83988</v>
      </c>
      <c r="P66" s="337">
        <v>281</v>
      </c>
      <c r="Q66" s="337">
        <v>0</v>
      </c>
      <c r="R66" s="337">
        <v>0</v>
      </c>
      <c r="S66" s="157">
        <f t="shared" si="31"/>
        <v>84269</v>
      </c>
      <c r="T66" s="337">
        <v>81016</v>
      </c>
      <c r="U66" s="337">
        <v>8494</v>
      </c>
      <c r="V66" s="337">
        <v>0</v>
      </c>
      <c r="W66" s="337">
        <v>0</v>
      </c>
      <c r="X66" s="157">
        <f t="shared" si="32"/>
        <v>89510</v>
      </c>
      <c r="Y66" s="337">
        <v>75207</v>
      </c>
      <c r="Z66" s="337">
        <v>11172</v>
      </c>
      <c r="AA66" s="337">
        <v>0</v>
      </c>
      <c r="AB66" s="337">
        <v>0</v>
      </c>
      <c r="AC66" s="157">
        <f t="shared" si="33"/>
        <v>86379</v>
      </c>
      <c r="AD66" s="334">
        <v>83773</v>
      </c>
      <c r="AE66" s="334">
        <v>6792</v>
      </c>
      <c r="AF66" s="337">
        <v>0</v>
      </c>
      <c r="AG66" s="337">
        <v>0</v>
      </c>
      <c r="AH66" s="157">
        <f t="shared" si="34"/>
        <v>90565</v>
      </c>
      <c r="AI66" s="337">
        <v>84167</v>
      </c>
      <c r="AJ66" s="337">
        <v>13658</v>
      </c>
      <c r="AK66" s="337">
        <v>0</v>
      </c>
      <c r="AL66" s="337">
        <v>0</v>
      </c>
      <c r="AM66" s="157">
        <f t="shared" si="35"/>
        <v>97825</v>
      </c>
      <c r="AN66" s="337">
        <v>0</v>
      </c>
      <c r="AO66" s="337">
        <v>0</v>
      </c>
      <c r="AP66" s="337">
        <v>0</v>
      </c>
      <c r="AQ66" s="337">
        <v>0</v>
      </c>
      <c r="AR66" s="157">
        <f t="shared" si="36"/>
        <v>0</v>
      </c>
      <c r="AS66" s="337">
        <v>0</v>
      </c>
      <c r="AT66" s="337">
        <v>0</v>
      </c>
      <c r="AU66" s="337">
        <v>0</v>
      </c>
      <c r="AV66" s="337">
        <v>0</v>
      </c>
      <c r="AW66" s="157">
        <f t="shared" si="37"/>
        <v>0</v>
      </c>
      <c r="AX66" s="337">
        <v>0</v>
      </c>
      <c r="AY66" s="337">
        <v>0</v>
      </c>
      <c r="AZ66" s="337">
        <v>0</v>
      </c>
      <c r="BA66" s="337">
        <v>0</v>
      </c>
      <c r="BB66" s="157">
        <f t="shared" si="38"/>
        <v>0</v>
      </c>
      <c r="BC66" s="337">
        <v>0</v>
      </c>
      <c r="BD66" s="337">
        <v>0</v>
      </c>
      <c r="BE66" s="337">
        <v>0</v>
      </c>
      <c r="BF66" s="337">
        <v>0</v>
      </c>
      <c r="BG66" s="157">
        <f t="shared" si="39"/>
        <v>0</v>
      </c>
      <c r="BH66" s="337">
        <v>0</v>
      </c>
      <c r="BI66" s="337">
        <v>0</v>
      </c>
      <c r="BJ66" s="337">
        <v>0</v>
      </c>
      <c r="BK66" s="337">
        <v>0</v>
      </c>
      <c r="BL66" s="157">
        <f t="shared" si="40"/>
        <v>0</v>
      </c>
      <c r="BM66" s="337">
        <v>0</v>
      </c>
      <c r="BN66" s="337">
        <v>0</v>
      </c>
      <c r="BO66" s="337">
        <v>0</v>
      </c>
      <c r="BP66" s="337">
        <v>0</v>
      </c>
      <c r="BQ66" s="157">
        <f>SUM(BM66:BP66)</f>
        <v>0</v>
      </c>
      <c r="BR66" s="337">
        <f t="shared" si="48"/>
        <v>486037</v>
      </c>
      <c r="BS66" s="337">
        <f t="shared" si="48"/>
        <v>42306</v>
      </c>
      <c r="BT66" s="337">
        <f t="shared" si="48"/>
        <v>0</v>
      </c>
      <c r="BU66" s="337">
        <f>+M66+R66+W66+AB66+AG66+AL66+AQ66+AV66+BA66+BF66+BK66+BP66</f>
        <v>0</v>
      </c>
      <c r="BV66" s="157">
        <f>SUM(BR66:BU66)</f>
        <v>528343</v>
      </c>
      <c r="BW66" s="129"/>
      <c r="BX66" s="368">
        <f t="shared" si="15"/>
        <v>50.232984878088203</v>
      </c>
    </row>
    <row r="67" spans="1:76" s="280" customFormat="1" x14ac:dyDescent="0.2">
      <c r="A67" s="342" t="s">
        <v>282</v>
      </c>
      <c r="B67" s="343"/>
      <c r="C67" s="318"/>
      <c r="D67" s="319"/>
      <c r="E67" s="337">
        <v>0</v>
      </c>
      <c r="F67" s="337">
        <v>2614</v>
      </c>
      <c r="G67" s="337">
        <v>0</v>
      </c>
      <c r="H67" s="337">
        <v>0</v>
      </c>
      <c r="I67" s="157">
        <f t="shared" si="44"/>
        <v>2614</v>
      </c>
      <c r="J67" s="338">
        <v>0</v>
      </c>
      <c r="K67" s="337">
        <v>0</v>
      </c>
      <c r="L67" s="337">
        <v>0</v>
      </c>
      <c r="M67" s="337">
        <v>0</v>
      </c>
      <c r="N67" s="157">
        <f t="shared" si="30"/>
        <v>0</v>
      </c>
      <c r="O67" s="337">
        <v>0</v>
      </c>
      <c r="P67" s="337">
        <v>0</v>
      </c>
      <c r="Q67" s="337">
        <v>0</v>
      </c>
      <c r="R67" s="337">
        <v>0</v>
      </c>
      <c r="S67" s="157">
        <f t="shared" si="31"/>
        <v>0</v>
      </c>
      <c r="T67" s="337">
        <v>0</v>
      </c>
      <c r="U67" s="337">
        <v>0</v>
      </c>
      <c r="V67" s="337">
        <v>0</v>
      </c>
      <c r="W67" s="337">
        <v>0</v>
      </c>
      <c r="X67" s="157">
        <f t="shared" si="32"/>
        <v>0</v>
      </c>
      <c r="Y67" s="337">
        <v>0</v>
      </c>
      <c r="Z67" s="337">
        <v>0</v>
      </c>
      <c r="AA67" s="337">
        <v>0</v>
      </c>
      <c r="AB67" s="337">
        <v>0</v>
      </c>
      <c r="AC67" s="157">
        <f t="shared" si="33"/>
        <v>0</v>
      </c>
      <c r="AD67" s="337">
        <v>0</v>
      </c>
      <c r="AE67" s="337">
        <v>0</v>
      </c>
      <c r="AF67" s="337">
        <v>0</v>
      </c>
      <c r="AG67" s="337">
        <v>0</v>
      </c>
      <c r="AH67" s="157">
        <f t="shared" si="34"/>
        <v>0</v>
      </c>
      <c r="AI67" s="337">
        <v>0</v>
      </c>
      <c r="AJ67" s="337">
        <v>0</v>
      </c>
      <c r="AK67" s="337">
        <v>0</v>
      </c>
      <c r="AL67" s="337">
        <v>0</v>
      </c>
      <c r="AM67" s="157">
        <f t="shared" si="35"/>
        <v>0</v>
      </c>
      <c r="AN67" s="337">
        <v>0</v>
      </c>
      <c r="AO67" s="337">
        <v>0</v>
      </c>
      <c r="AP67" s="337">
        <v>0</v>
      </c>
      <c r="AQ67" s="337">
        <v>0</v>
      </c>
      <c r="AR67" s="157">
        <f t="shared" si="36"/>
        <v>0</v>
      </c>
      <c r="AS67" s="337">
        <v>0</v>
      </c>
      <c r="AT67" s="337">
        <v>0</v>
      </c>
      <c r="AU67" s="337">
        <v>0</v>
      </c>
      <c r="AV67" s="337">
        <v>0</v>
      </c>
      <c r="AW67" s="157">
        <f t="shared" si="37"/>
        <v>0</v>
      </c>
      <c r="AX67" s="337">
        <v>0</v>
      </c>
      <c r="AY67" s="337">
        <v>0</v>
      </c>
      <c r="AZ67" s="337">
        <v>0</v>
      </c>
      <c r="BA67" s="337">
        <v>0</v>
      </c>
      <c r="BB67" s="157">
        <f t="shared" si="38"/>
        <v>0</v>
      </c>
      <c r="BC67" s="337">
        <v>0</v>
      </c>
      <c r="BD67" s="337">
        <v>0</v>
      </c>
      <c r="BE67" s="337">
        <v>0</v>
      </c>
      <c r="BF67" s="337">
        <v>0</v>
      </c>
      <c r="BG67" s="157">
        <f t="shared" si="39"/>
        <v>0</v>
      </c>
      <c r="BH67" s="337">
        <v>0</v>
      </c>
      <c r="BI67" s="337">
        <v>0</v>
      </c>
      <c r="BJ67" s="337">
        <v>0</v>
      </c>
      <c r="BK67" s="337">
        <v>0</v>
      </c>
      <c r="BL67" s="157">
        <f t="shared" si="40"/>
        <v>0</v>
      </c>
      <c r="BM67" s="337">
        <v>0</v>
      </c>
      <c r="BN67" s="337">
        <v>0</v>
      </c>
      <c r="BO67" s="337">
        <v>0</v>
      </c>
      <c r="BP67" s="337">
        <v>0</v>
      </c>
      <c r="BQ67" s="157">
        <f t="shared" si="41"/>
        <v>0</v>
      </c>
      <c r="BR67" s="337">
        <f t="shared" si="48"/>
        <v>0</v>
      </c>
      <c r="BS67" s="337">
        <f t="shared" si="48"/>
        <v>0</v>
      </c>
      <c r="BT67" s="337">
        <f t="shared" si="48"/>
        <v>0</v>
      </c>
      <c r="BU67" s="337">
        <f>+M67+R67+W67+AB67+AG67+AL67+AQ67+AV67+BA67+BF67+BK67+BP67</f>
        <v>0</v>
      </c>
      <c r="BV67" s="157">
        <f t="shared" si="43"/>
        <v>0</v>
      </c>
      <c r="BW67" s="129"/>
      <c r="BX67" s="368">
        <f>(BV67/I67)*100</f>
        <v>0</v>
      </c>
    </row>
    <row r="68" spans="1:76" x14ac:dyDescent="0.2">
      <c r="A68" s="300" t="s">
        <v>283</v>
      </c>
      <c r="B68" s="304"/>
      <c r="D68" s="323"/>
      <c r="E68" s="153">
        <f t="shared" ref="E68:AD68" si="49">SUM(E50:E67)-E52</f>
        <v>208430438.69999999</v>
      </c>
      <c r="F68" s="152">
        <f t="shared" si="49"/>
        <v>537102186</v>
      </c>
      <c r="G68" s="152">
        <f t="shared" si="49"/>
        <v>0</v>
      </c>
      <c r="H68" s="152">
        <f t="shared" si="49"/>
        <v>468468</v>
      </c>
      <c r="I68" s="135">
        <f t="shared" si="49"/>
        <v>746001092.70000005</v>
      </c>
      <c r="J68" s="153">
        <f t="shared" si="49"/>
        <v>3879932</v>
      </c>
      <c r="K68" s="152">
        <f t="shared" si="49"/>
        <v>43681922</v>
      </c>
      <c r="L68" s="152">
        <f t="shared" si="49"/>
        <v>0</v>
      </c>
      <c r="M68" s="152">
        <f t="shared" si="49"/>
        <v>13631872</v>
      </c>
      <c r="N68" s="135">
        <f t="shared" si="49"/>
        <v>61193726</v>
      </c>
      <c r="O68" s="152">
        <f t="shared" si="49"/>
        <v>4573313</v>
      </c>
      <c r="P68" s="152">
        <f t="shared" si="49"/>
        <v>43617596</v>
      </c>
      <c r="Q68" s="152">
        <f t="shared" si="49"/>
        <v>0</v>
      </c>
      <c r="R68" s="152">
        <f t="shared" si="49"/>
        <v>83878</v>
      </c>
      <c r="S68" s="135">
        <f t="shared" si="49"/>
        <v>48274787</v>
      </c>
      <c r="T68" s="153">
        <f t="shared" si="49"/>
        <v>20526581</v>
      </c>
      <c r="U68" s="152">
        <f t="shared" si="49"/>
        <v>43550628</v>
      </c>
      <c r="V68" s="152">
        <f t="shared" si="49"/>
        <v>0</v>
      </c>
      <c r="W68" s="152">
        <f t="shared" si="49"/>
        <v>23306</v>
      </c>
      <c r="X68" s="135">
        <f t="shared" si="49"/>
        <v>64100515</v>
      </c>
      <c r="Y68" s="153">
        <f t="shared" si="49"/>
        <v>27648509</v>
      </c>
      <c r="Z68" s="152">
        <f t="shared" si="49"/>
        <v>43533510</v>
      </c>
      <c r="AA68" s="152">
        <f t="shared" si="49"/>
        <v>0</v>
      </c>
      <c r="AB68" s="152">
        <f t="shared" si="49"/>
        <v>119906</v>
      </c>
      <c r="AC68" s="135">
        <f t="shared" si="49"/>
        <v>71301925</v>
      </c>
      <c r="AD68" s="153">
        <f t="shared" si="49"/>
        <v>27979426</v>
      </c>
      <c r="AE68" s="152">
        <f t="shared" ref="AE68:AM68" si="50">SUM(AE50:AE67)-AE52-AE59</f>
        <v>47971723</v>
      </c>
      <c r="AF68" s="152">
        <f t="shared" si="50"/>
        <v>0</v>
      </c>
      <c r="AG68" s="152">
        <f t="shared" si="50"/>
        <v>3800230</v>
      </c>
      <c r="AH68" s="135">
        <f t="shared" si="50"/>
        <v>79751379</v>
      </c>
      <c r="AI68" s="153">
        <f t="shared" si="50"/>
        <v>16793673</v>
      </c>
      <c r="AJ68" s="152">
        <f t="shared" si="50"/>
        <v>43671783</v>
      </c>
      <c r="AK68" s="152">
        <f t="shared" si="50"/>
        <v>0</v>
      </c>
      <c r="AL68" s="152">
        <f t="shared" si="50"/>
        <v>-9699979</v>
      </c>
      <c r="AM68" s="135">
        <f t="shared" si="50"/>
        <v>50765477</v>
      </c>
      <c r="AN68" s="153">
        <f>SUM(AN50:AN67)-AN52-AN59</f>
        <v>0</v>
      </c>
      <c r="AO68" s="152">
        <f>SUM(AO50:AO67)-AO52-AO59</f>
        <v>0</v>
      </c>
      <c r="AP68" s="152">
        <f>SUM(AP50:AP67)-AP52-AP55</f>
        <v>0</v>
      </c>
      <c r="AQ68" s="152">
        <f>SUM(AQ50:AQ67)-AQ52-AQ59</f>
        <v>0</v>
      </c>
      <c r="AR68" s="135">
        <f>SUM(AR50:AR67)-AR52-AR59</f>
        <v>0</v>
      </c>
      <c r="AS68" s="153">
        <f t="shared" ref="AS68:BQ68" si="51">SUM(AS50:AS67)-AS52</f>
        <v>0</v>
      </c>
      <c r="AT68" s="152">
        <f t="shared" si="51"/>
        <v>0</v>
      </c>
      <c r="AU68" s="152">
        <f t="shared" si="51"/>
        <v>0</v>
      </c>
      <c r="AV68" s="152">
        <f t="shared" si="51"/>
        <v>0</v>
      </c>
      <c r="AW68" s="135">
        <f>SUM(AW50:AW67)-AW52</f>
        <v>0</v>
      </c>
      <c r="AX68" s="153">
        <f t="shared" si="51"/>
        <v>0</v>
      </c>
      <c r="AY68" s="152">
        <f t="shared" si="51"/>
        <v>0</v>
      </c>
      <c r="AZ68" s="152">
        <f t="shared" si="51"/>
        <v>0</v>
      </c>
      <c r="BA68" s="152">
        <f t="shared" si="51"/>
        <v>0</v>
      </c>
      <c r="BB68" s="135">
        <f t="shared" si="51"/>
        <v>0</v>
      </c>
      <c r="BC68" s="153">
        <f t="shared" si="51"/>
        <v>0</v>
      </c>
      <c r="BD68" s="152">
        <f t="shared" si="51"/>
        <v>0</v>
      </c>
      <c r="BE68" s="152">
        <f t="shared" si="51"/>
        <v>0</v>
      </c>
      <c r="BF68" s="152">
        <f>SUM(BF50:BF67)-BF52-BF59</f>
        <v>0</v>
      </c>
      <c r="BG68" s="135">
        <f>SUM(BG50:BG67)-BG52-BG59</f>
        <v>0</v>
      </c>
      <c r="BH68" s="153">
        <f t="shared" si="51"/>
        <v>0</v>
      </c>
      <c r="BI68" s="152">
        <f t="shared" si="51"/>
        <v>0</v>
      </c>
      <c r="BJ68" s="152">
        <f t="shared" si="51"/>
        <v>0</v>
      </c>
      <c r="BK68" s="152">
        <f t="shared" si="51"/>
        <v>0</v>
      </c>
      <c r="BL68" s="135">
        <f t="shared" si="51"/>
        <v>0</v>
      </c>
      <c r="BM68" s="153">
        <f t="shared" si="51"/>
        <v>0</v>
      </c>
      <c r="BN68" s="152">
        <f t="shared" si="51"/>
        <v>0</v>
      </c>
      <c r="BO68" s="152">
        <f t="shared" si="51"/>
        <v>0</v>
      </c>
      <c r="BP68" s="152">
        <f t="shared" si="51"/>
        <v>0</v>
      </c>
      <c r="BQ68" s="135">
        <f t="shared" si="51"/>
        <v>0</v>
      </c>
      <c r="BR68" s="153">
        <f>SUM(BR50:BR67)-BR52-BR59</f>
        <v>101401434</v>
      </c>
      <c r="BS68" s="152">
        <f>SUM(BS50:BS67)-BS52-BS59</f>
        <v>266027162</v>
      </c>
      <c r="BT68" s="152">
        <f>SUM(BT50:BT67)-BT52-BT59</f>
        <v>0</v>
      </c>
      <c r="BU68" s="152">
        <f>SUM(BU50:BU67)-BU52-BU59</f>
        <v>7959213</v>
      </c>
      <c r="BV68" s="134">
        <f>SUM(BV50:BV67)-BV52-BV59</f>
        <v>375387809</v>
      </c>
      <c r="BW68" s="130"/>
      <c r="BX68" s="368">
        <f t="shared" si="15"/>
        <v>50.320007929393206</v>
      </c>
    </row>
    <row r="69" spans="1:76" hidden="1" x14ac:dyDescent="0.2">
      <c r="A69" s="322" t="s">
        <v>284</v>
      </c>
      <c r="B69" s="304"/>
      <c r="D69" s="323"/>
      <c r="E69" s="161">
        <v>0</v>
      </c>
      <c r="F69" s="161">
        <v>0</v>
      </c>
      <c r="G69" s="161">
        <v>0</v>
      </c>
      <c r="H69" s="161">
        <v>0</v>
      </c>
      <c r="I69" s="157"/>
      <c r="J69" s="159">
        <v>0</v>
      </c>
      <c r="K69" s="161">
        <v>0</v>
      </c>
      <c r="L69" s="161">
        <v>0</v>
      </c>
      <c r="M69" s="161">
        <v>0</v>
      </c>
      <c r="N69" s="157">
        <v>0</v>
      </c>
      <c r="O69" s="161">
        <v>0</v>
      </c>
      <c r="P69" s="161">
        <v>0</v>
      </c>
      <c r="Q69" s="161">
        <v>0</v>
      </c>
      <c r="R69" s="161">
        <v>0</v>
      </c>
      <c r="S69" s="157">
        <v>0</v>
      </c>
      <c r="T69" s="161">
        <v>0</v>
      </c>
      <c r="U69" s="161">
        <v>0</v>
      </c>
      <c r="V69" s="161">
        <v>0</v>
      </c>
      <c r="W69" s="161">
        <v>0</v>
      </c>
      <c r="X69" s="157">
        <v>0</v>
      </c>
      <c r="Y69" s="161">
        <v>0</v>
      </c>
      <c r="Z69" s="161">
        <v>0</v>
      </c>
      <c r="AA69" s="161">
        <v>0</v>
      </c>
      <c r="AB69" s="161">
        <v>0</v>
      </c>
      <c r="AC69" s="157">
        <v>0</v>
      </c>
      <c r="AD69" s="161">
        <v>0</v>
      </c>
      <c r="AE69" s="161">
        <v>0</v>
      </c>
      <c r="AF69" s="161">
        <v>0</v>
      </c>
      <c r="AG69" s="161">
        <v>0</v>
      </c>
      <c r="AH69" s="157">
        <v>0</v>
      </c>
      <c r="AI69" s="161">
        <v>0</v>
      </c>
      <c r="AJ69" s="161">
        <v>0</v>
      </c>
      <c r="AK69" s="161">
        <v>0</v>
      </c>
      <c r="AL69" s="161">
        <v>0</v>
      </c>
      <c r="AM69" s="157">
        <v>0</v>
      </c>
      <c r="AN69" s="161">
        <v>0</v>
      </c>
      <c r="AO69" s="161">
        <v>0</v>
      </c>
      <c r="AP69" s="161">
        <v>0</v>
      </c>
      <c r="AQ69" s="161">
        <v>0</v>
      </c>
      <c r="AR69" s="157">
        <v>0</v>
      </c>
      <c r="AS69" s="161">
        <v>0</v>
      </c>
      <c r="AT69" s="161">
        <v>0</v>
      </c>
      <c r="AU69" s="161">
        <v>0</v>
      </c>
      <c r="AV69" s="161">
        <v>0</v>
      </c>
      <c r="AW69" s="157">
        <v>0</v>
      </c>
      <c r="AX69" s="161">
        <v>0</v>
      </c>
      <c r="AY69" s="161">
        <v>0</v>
      </c>
      <c r="AZ69" s="161">
        <v>0</v>
      </c>
      <c r="BA69" s="161">
        <v>0</v>
      </c>
      <c r="BB69" s="157">
        <v>0</v>
      </c>
      <c r="BC69" s="161">
        <v>0</v>
      </c>
      <c r="BD69" s="161">
        <v>0</v>
      </c>
      <c r="BE69" s="161">
        <v>0</v>
      </c>
      <c r="BF69" s="161">
        <v>0</v>
      </c>
      <c r="BG69" s="157">
        <v>0</v>
      </c>
      <c r="BH69" s="161">
        <v>0</v>
      </c>
      <c r="BI69" s="161">
        <v>0</v>
      </c>
      <c r="BJ69" s="161">
        <v>0</v>
      </c>
      <c r="BK69" s="161">
        <v>0</v>
      </c>
      <c r="BL69" s="157">
        <v>0</v>
      </c>
      <c r="BM69" s="161">
        <v>0</v>
      </c>
      <c r="BN69" s="161">
        <v>0</v>
      </c>
      <c r="BO69" s="161">
        <v>0</v>
      </c>
      <c r="BP69" s="161">
        <v>0</v>
      </c>
      <c r="BQ69" s="157">
        <v>0</v>
      </c>
      <c r="BR69" s="161">
        <v>0</v>
      </c>
      <c r="BS69" s="161">
        <v>0</v>
      </c>
      <c r="BT69" s="161">
        <v>0</v>
      </c>
      <c r="BU69" s="161">
        <v>0</v>
      </c>
      <c r="BV69" s="158">
        <v>0</v>
      </c>
      <c r="BW69" s="121"/>
      <c r="BX69" s="368" t="e">
        <f t="shared" si="15"/>
        <v>#DIV/0!</v>
      </c>
    </row>
    <row r="70" spans="1:76" hidden="1" x14ac:dyDescent="0.2">
      <c r="A70" s="322" t="s">
        <v>322</v>
      </c>
      <c r="B70" s="304"/>
      <c r="D70" s="323"/>
      <c r="E70" s="161">
        <v>0</v>
      </c>
      <c r="F70" s="161">
        <v>0</v>
      </c>
      <c r="G70" s="161">
        <v>0</v>
      </c>
      <c r="H70" s="161">
        <v>0</v>
      </c>
      <c r="I70" s="157"/>
      <c r="J70" s="159">
        <v>0</v>
      </c>
      <c r="K70" s="161">
        <v>0</v>
      </c>
      <c r="L70" s="161">
        <v>0</v>
      </c>
      <c r="M70" s="161">
        <v>0</v>
      </c>
      <c r="N70" s="157">
        <v>0</v>
      </c>
      <c r="O70" s="161">
        <v>0</v>
      </c>
      <c r="P70" s="161">
        <v>0</v>
      </c>
      <c r="Q70" s="161">
        <v>0</v>
      </c>
      <c r="R70" s="161">
        <v>0</v>
      </c>
      <c r="S70" s="157">
        <v>0</v>
      </c>
      <c r="T70" s="161">
        <v>0</v>
      </c>
      <c r="U70" s="161">
        <v>0</v>
      </c>
      <c r="V70" s="161">
        <v>0</v>
      </c>
      <c r="W70" s="161">
        <v>0</v>
      </c>
      <c r="X70" s="157">
        <v>0</v>
      </c>
      <c r="Y70" s="161">
        <v>0</v>
      </c>
      <c r="Z70" s="161">
        <v>0</v>
      </c>
      <c r="AA70" s="161">
        <v>0</v>
      </c>
      <c r="AB70" s="161">
        <v>0</v>
      </c>
      <c r="AC70" s="157">
        <v>0</v>
      </c>
      <c r="AD70" s="161">
        <v>0</v>
      </c>
      <c r="AE70" s="161">
        <v>0</v>
      </c>
      <c r="AF70" s="161">
        <v>0</v>
      </c>
      <c r="AG70" s="161">
        <v>0</v>
      </c>
      <c r="AH70" s="157">
        <v>0</v>
      </c>
      <c r="AI70" s="161">
        <v>0</v>
      </c>
      <c r="AJ70" s="161">
        <v>0</v>
      </c>
      <c r="AK70" s="161">
        <v>0</v>
      </c>
      <c r="AL70" s="161">
        <v>0</v>
      </c>
      <c r="AM70" s="157">
        <v>0</v>
      </c>
      <c r="AN70" s="161">
        <v>0</v>
      </c>
      <c r="AO70" s="161">
        <v>0</v>
      </c>
      <c r="AP70" s="161">
        <v>0</v>
      </c>
      <c r="AQ70" s="161">
        <v>0</v>
      </c>
      <c r="AR70" s="157">
        <v>0</v>
      </c>
      <c r="AS70" s="161">
        <v>0</v>
      </c>
      <c r="AT70" s="161">
        <v>0</v>
      </c>
      <c r="AU70" s="161">
        <v>0</v>
      </c>
      <c r="AV70" s="161">
        <v>0</v>
      </c>
      <c r="AW70" s="157">
        <v>0</v>
      </c>
      <c r="AX70" s="161"/>
      <c r="AY70" s="161"/>
      <c r="AZ70" s="161"/>
      <c r="BA70" s="161"/>
      <c r="BB70" s="157"/>
      <c r="BC70" s="161"/>
      <c r="BD70" s="161"/>
      <c r="BE70" s="161"/>
      <c r="BF70" s="161"/>
      <c r="BG70" s="157"/>
      <c r="BH70" s="161"/>
      <c r="BI70" s="161"/>
      <c r="BJ70" s="161"/>
      <c r="BK70" s="161"/>
      <c r="BL70" s="157"/>
      <c r="BM70" s="161"/>
      <c r="BN70" s="161"/>
      <c r="BO70" s="161"/>
      <c r="BP70" s="161"/>
      <c r="BQ70" s="157"/>
      <c r="BR70" s="161">
        <v>0</v>
      </c>
      <c r="BS70" s="161">
        <v>0</v>
      </c>
      <c r="BT70" s="161">
        <v>0</v>
      </c>
      <c r="BU70" s="161">
        <v>0</v>
      </c>
      <c r="BV70" s="158">
        <v>0</v>
      </c>
      <c r="BW70" s="121"/>
      <c r="BX70" s="368" t="e">
        <f t="shared" si="15"/>
        <v>#DIV/0!</v>
      </c>
    </row>
    <row r="71" spans="1:76" hidden="1" x14ac:dyDescent="0.2">
      <c r="A71" s="322" t="s">
        <v>285</v>
      </c>
      <c r="B71" s="304"/>
      <c r="D71" s="323"/>
      <c r="E71" s="161">
        <v>0</v>
      </c>
      <c r="F71" s="161">
        <v>0</v>
      </c>
      <c r="G71" s="161">
        <v>0</v>
      </c>
      <c r="H71" s="161">
        <v>0</v>
      </c>
      <c r="I71" s="157"/>
      <c r="J71" s="159">
        <v>0</v>
      </c>
      <c r="K71" s="161">
        <v>0</v>
      </c>
      <c r="L71" s="161">
        <v>0</v>
      </c>
      <c r="M71" s="161">
        <v>0</v>
      </c>
      <c r="N71" s="157">
        <f>SUM(J71:M71)</f>
        <v>0</v>
      </c>
      <c r="O71" s="161">
        <v>0</v>
      </c>
      <c r="P71" s="161">
        <v>0</v>
      </c>
      <c r="Q71" s="161">
        <v>0</v>
      </c>
      <c r="R71" s="161">
        <v>0</v>
      </c>
      <c r="S71" s="157">
        <v>0</v>
      </c>
      <c r="T71" s="161">
        <v>0</v>
      </c>
      <c r="U71" s="161">
        <v>0</v>
      </c>
      <c r="V71" s="161">
        <v>0</v>
      </c>
      <c r="W71" s="161">
        <v>0</v>
      </c>
      <c r="X71" s="157">
        <v>0</v>
      </c>
      <c r="Y71" s="161">
        <v>0</v>
      </c>
      <c r="Z71" s="161">
        <v>0</v>
      </c>
      <c r="AA71" s="161">
        <v>0</v>
      </c>
      <c r="AB71" s="161">
        <v>0</v>
      </c>
      <c r="AC71" s="157">
        <v>0</v>
      </c>
      <c r="AD71" s="161">
        <v>0</v>
      </c>
      <c r="AE71" s="161">
        <v>0</v>
      </c>
      <c r="AF71" s="161">
        <v>0</v>
      </c>
      <c r="AG71" s="161">
        <v>0</v>
      </c>
      <c r="AH71" s="157">
        <v>0</v>
      </c>
      <c r="AI71" s="161">
        <v>0</v>
      </c>
      <c r="AJ71" s="161">
        <v>0</v>
      </c>
      <c r="AK71" s="161">
        <v>0</v>
      </c>
      <c r="AL71" s="161">
        <v>0</v>
      </c>
      <c r="AM71" s="157">
        <v>0</v>
      </c>
      <c r="AN71" s="161">
        <v>0</v>
      </c>
      <c r="AO71" s="161">
        <v>0</v>
      </c>
      <c r="AP71" s="161">
        <v>0</v>
      </c>
      <c r="AQ71" s="161">
        <v>0</v>
      </c>
      <c r="AR71" s="157">
        <v>0</v>
      </c>
      <c r="AS71" s="161">
        <v>0</v>
      </c>
      <c r="AT71" s="161">
        <v>0</v>
      </c>
      <c r="AU71" s="161">
        <v>0</v>
      </c>
      <c r="AV71" s="161">
        <v>0</v>
      </c>
      <c r="AW71" s="157">
        <v>0</v>
      </c>
      <c r="AX71" s="161"/>
      <c r="AY71" s="161"/>
      <c r="AZ71" s="161"/>
      <c r="BA71" s="161"/>
      <c r="BB71" s="157"/>
      <c r="BC71" s="161"/>
      <c r="BD71" s="161"/>
      <c r="BE71" s="161"/>
      <c r="BF71" s="161"/>
      <c r="BG71" s="157"/>
      <c r="BH71" s="161"/>
      <c r="BI71" s="161"/>
      <c r="BJ71" s="161"/>
      <c r="BK71" s="161"/>
      <c r="BL71" s="157"/>
      <c r="BM71" s="161"/>
      <c r="BN71" s="161"/>
      <c r="BO71" s="161"/>
      <c r="BP71" s="161"/>
      <c r="BQ71" s="157"/>
      <c r="BR71" s="161">
        <f>+J71+O71+T71+Y71+AD71+AI71+AN71+AS71+AX71+BC71+BH71+BM71</f>
        <v>0</v>
      </c>
      <c r="BS71" s="161">
        <f>+K71+P71+U71+Z71+AE71+AJ71+AO71+AT71+AY71+BD71+BI71+BN71</f>
        <v>0</v>
      </c>
      <c r="BT71" s="161">
        <f>+L71+Q71+V71+AA71+AF71+AK71+AP71+AU71+AZ71+BE71+BJ71+BO71</f>
        <v>0</v>
      </c>
      <c r="BU71" s="161">
        <f>+M71+R71+W71+AB71+AG71+AL71+AQ71+AV71+BA71+BF71+BK71+BP71</f>
        <v>0</v>
      </c>
      <c r="BV71" s="158">
        <f>SUM(BR71:BU71)</f>
        <v>0</v>
      </c>
      <c r="BW71" s="121"/>
      <c r="BX71" s="368" t="e">
        <f t="shared" si="15"/>
        <v>#DIV/0!</v>
      </c>
    </row>
    <row r="72" spans="1:76" hidden="1" x14ac:dyDescent="0.2">
      <c r="A72" s="322" t="s">
        <v>323</v>
      </c>
      <c r="B72" s="304"/>
      <c r="D72" s="323"/>
      <c r="E72" s="161">
        <v>0</v>
      </c>
      <c r="F72" s="161">
        <v>0</v>
      </c>
      <c r="G72" s="161">
        <v>0</v>
      </c>
      <c r="H72" s="161">
        <v>0</v>
      </c>
      <c r="I72" s="157"/>
      <c r="J72" s="159">
        <v>0</v>
      </c>
      <c r="K72" s="161">
        <v>0</v>
      </c>
      <c r="L72" s="161">
        <v>0</v>
      </c>
      <c r="M72" s="161">
        <v>0</v>
      </c>
      <c r="N72" s="157">
        <v>0</v>
      </c>
      <c r="O72" s="161">
        <v>0</v>
      </c>
      <c r="P72" s="161">
        <v>0</v>
      </c>
      <c r="Q72" s="161">
        <v>0</v>
      </c>
      <c r="R72" s="161">
        <v>0</v>
      </c>
      <c r="S72" s="157">
        <v>0</v>
      </c>
      <c r="T72" s="161">
        <v>0</v>
      </c>
      <c r="U72" s="161">
        <v>0</v>
      </c>
      <c r="V72" s="161">
        <v>0</v>
      </c>
      <c r="W72" s="161">
        <v>0</v>
      </c>
      <c r="X72" s="157">
        <v>0</v>
      </c>
      <c r="Y72" s="161">
        <v>0</v>
      </c>
      <c r="Z72" s="161">
        <v>0</v>
      </c>
      <c r="AA72" s="161">
        <v>0</v>
      </c>
      <c r="AB72" s="161">
        <v>0</v>
      </c>
      <c r="AC72" s="157">
        <v>0</v>
      </c>
      <c r="AD72" s="161">
        <v>0</v>
      </c>
      <c r="AE72" s="161">
        <v>0</v>
      </c>
      <c r="AF72" s="161">
        <v>0</v>
      </c>
      <c r="AG72" s="161">
        <v>0</v>
      </c>
      <c r="AH72" s="157">
        <v>0</v>
      </c>
      <c r="AI72" s="161">
        <v>0</v>
      </c>
      <c r="AJ72" s="161">
        <v>0</v>
      </c>
      <c r="AK72" s="161">
        <v>0</v>
      </c>
      <c r="AL72" s="161">
        <v>0</v>
      </c>
      <c r="AM72" s="157">
        <v>0</v>
      </c>
      <c r="AN72" s="161">
        <v>0</v>
      </c>
      <c r="AO72" s="161">
        <v>0</v>
      </c>
      <c r="AP72" s="161">
        <v>0</v>
      </c>
      <c r="AQ72" s="161">
        <v>0</v>
      </c>
      <c r="AR72" s="157">
        <v>0</v>
      </c>
      <c r="AS72" s="161">
        <v>0</v>
      </c>
      <c r="AT72" s="161">
        <v>0</v>
      </c>
      <c r="AU72" s="161">
        <v>0</v>
      </c>
      <c r="AV72" s="161">
        <v>0</v>
      </c>
      <c r="AW72" s="157">
        <v>0</v>
      </c>
      <c r="AX72" s="161"/>
      <c r="AY72" s="161"/>
      <c r="AZ72" s="161"/>
      <c r="BA72" s="161"/>
      <c r="BB72" s="157"/>
      <c r="BC72" s="161"/>
      <c r="BD72" s="161"/>
      <c r="BE72" s="161"/>
      <c r="BF72" s="161"/>
      <c r="BG72" s="157"/>
      <c r="BH72" s="161"/>
      <c r="BI72" s="161"/>
      <c r="BJ72" s="161"/>
      <c r="BK72" s="161"/>
      <c r="BL72" s="157"/>
      <c r="BM72" s="161"/>
      <c r="BN72" s="161"/>
      <c r="BO72" s="161"/>
      <c r="BP72" s="161"/>
      <c r="BQ72" s="157"/>
      <c r="BR72" s="161">
        <v>0</v>
      </c>
      <c r="BS72" s="161">
        <v>0</v>
      </c>
      <c r="BT72" s="161">
        <v>0</v>
      </c>
      <c r="BU72" s="161">
        <v>0</v>
      </c>
      <c r="BV72" s="158">
        <v>0</v>
      </c>
      <c r="BW72" s="121"/>
      <c r="BX72" s="368" t="e">
        <f t="shared" si="15"/>
        <v>#DIV/0!</v>
      </c>
    </row>
    <row r="73" spans="1:76" ht="13.5" customHeight="1" x14ac:dyDescent="0.2">
      <c r="A73" s="345" t="s">
        <v>216</v>
      </c>
      <c r="B73" s="346"/>
      <c r="C73" s="346"/>
      <c r="D73" s="347"/>
      <c r="E73" s="348">
        <f t="shared" ref="E73:BP73" si="52">+E47+E68+E69+E70+E71+E72</f>
        <v>449732094.69999999</v>
      </c>
      <c r="F73" s="349">
        <f t="shared" si="52"/>
        <v>1163716358</v>
      </c>
      <c r="G73" s="349">
        <f t="shared" si="52"/>
        <v>11702183</v>
      </c>
      <c r="H73" s="349">
        <f t="shared" si="52"/>
        <v>64681779</v>
      </c>
      <c r="I73" s="350">
        <f>+I47+I68</f>
        <v>1689832414.7</v>
      </c>
      <c r="J73" s="348">
        <f t="shared" si="52"/>
        <v>21299829</v>
      </c>
      <c r="K73" s="349">
        <f t="shared" si="52"/>
        <v>102058569</v>
      </c>
      <c r="L73" s="349">
        <f t="shared" si="52"/>
        <v>362073</v>
      </c>
      <c r="M73" s="349">
        <f t="shared" si="52"/>
        <v>13633997</v>
      </c>
      <c r="N73" s="350">
        <f t="shared" si="52"/>
        <v>137354468</v>
      </c>
      <c r="O73" s="349">
        <f t="shared" si="52"/>
        <v>23389993</v>
      </c>
      <c r="P73" s="349">
        <f t="shared" si="52"/>
        <v>90353168</v>
      </c>
      <c r="Q73" s="349">
        <f t="shared" si="52"/>
        <v>582691</v>
      </c>
      <c r="R73" s="349">
        <f t="shared" si="52"/>
        <v>135434</v>
      </c>
      <c r="S73" s="350">
        <f t="shared" si="52"/>
        <v>114461286</v>
      </c>
      <c r="T73" s="348">
        <f t="shared" si="52"/>
        <v>39453704</v>
      </c>
      <c r="U73" s="349">
        <f t="shared" si="52"/>
        <v>83604736</v>
      </c>
      <c r="V73" s="349">
        <f t="shared" si="52"/>
        <v>553754</v>
      </c>
      <c r="W73" s="349">
        <f t="shared" si="52"/>
        <v>23276</v>
      </c>
      <c r="X73" s="350">
        <f t="shared" si="52"/>
        <v>123635470</v>
      </c>
      <c r="Y73" s="348">
        <f t="shared" si="52"/>
        <v>47785459</v>
      </c>
      <c r="Z73" s="349">
        <f t="shared" si="52"/>
        <v>124231215</v>
      </c>
      <c r="AA73" s="349">
        <f t="shared" si="52"/>
        <v>714762</v>
      </c>
      <c r="AB73" s="349">
        <f t="shared" si="52"/>
        <v>122353</v>
      </c>
      <c r="AC73" s="350">
        <f t="shared" si="52"/>
        <v>172853789</v>
      </c>
      <c r="AD73" s="348">
        <f t="shared" si="52"/>
        <v>47186195</v>
      </c>
      <c r="AE73" s="349">
        <f t="shared" si="52"/>
        <v>98938819</v>
      </c>
      <c r="AF73" s="349">
        <f t="shared" si="52"/>
        <v>844913</v>
      </c>
      <c r="AG73" s="349">
        <f t="shared" si="52"/>
        <v>3802346</v>
      </c>
      <c r="AH73" s="350">
        <f t="shared" si="52"/>
        <v>150772273</v>
      </c>
      <c r="AI73" s="348">
        <f t="shared" si="52"/>
        <v>36134750</v>
      </c>
      <c r="AJ73" s="349">
        <f t="shared" si="52"/>
        <v>77572968</v>
      </c>
      <c r="AK73" s="349">
        <f t="shared" si="52"/>
        <v>853464</v>
      </c>
      <c r="AL73" s="349">
        <f t="shared" si="52"/>
        <v>3802194</v>
      </c>
      <c r="AM73" s="350">
        <f t="shared" si="52"/>
        <v>118363376</v>
      </c>
      <c r="AN73" s="348">
        <f>+AN47+AN68+AN69+AN70+AN71+AN72</f>
        <v>0</v>
      </c>
      <c r="AO73" s="349">
        <f t="shared" si="52"/>
        <v>0</v>
      </c>
      <c r="AP73" s="349">
        <f t="shared" si="52"/>
        <v>0</v>
      </c>
      <c r="AQ73" s="349">
        <f>+AQ47+AQ68+AQ69+AQ70+AQ71+AQ72</f>
        <v>0</v>
      </c>
      <c r="AR73" s="350">
        <f>+AR47+AR68+AR69+AR70+AR71+AR72</f>
        <v>0</v>
      </c>
      <c r="AS73" s="348">
        <f t="shared" si="52"/>
        <v>0</v>
      </c>
      <c r="AT73" s="349">
        <f t="shared" si="52"/>
        <v>0</v>
      </c>
      <c r="AU73" s="349">
        <f t="shared" si="52"/>
        <v>0</v>
      </c>
      <c r="AV73" s="349">
        <f t="shared" si="52"/>
        <v>0</v>
      </c>
      <c r="AW73" s="350">
        <f t="shared" si="52"/>
        <v>0</v>
      </c>
      <c r="AX73" s="348">
        <f t="shared" si="52"/>
        <v>0</v>
      </c>
      <c r="AY73" s="349">
        <f t="shared" si="52"/>
        <v>0</v>
      </c>
      <c r="AZ73" s="349">
        <f t="shared" si="52"/>
        <v>0</v>
      </c>
      <c r="BA73" s="349">
        <f t="shared" si="52"/>
        <v>0</v>
      </c>
      <c r="BB73" s="350">
        <f t="shared" si="52"/>
        <v>0</v>
      </c>
      <c r="BC73" s="348">
        <f t="shared" si="52"/>
        <v>0</v>
      </c>
      <c r="BD73" s="349">
        <f t="shared" si="52"/>
        <v>0</v>
      </c>
      <c r="BE73" s="349">
        <f t="shared" si="52"/>
        <v>0</v>
      </c>
      <c r="BF73" s="349">
        <f t="shared" si="52"/>
        <v>0</v>
      </c>
      <c r="BG73" s="350">
        <f t="shared" si="52"/>
        <v>0</v>
      </c>
      <c r="BH73" s="348">
        <f t="shared" si="52"/>
        <v>0</v>
      </c>
      <c r="BI73" s="349">
        <f t="shared" si="52"/>
        <v>0</v>
      </c>
      <c r="BJ73" s="349">
        <f t="shared" si="52"/>
        <v>0</v>
      </c>
      <c r="BK73" s="349">
        <f t="shared" si="52"/>
        <v>0</v>
      </c>
      <c r="BL73" s="350">
        <f t="shared" si="52"/>
        <v>0</v>
      </c>
      <c r="BM73" s="348">
        <f t="shared" si="52"/>
        <v>0</v>
      </c>
      <c r="BN73" s="349">
        <f t="shared" si="52"/>
        <v>0</v>
      </c>
      <c r="BO73" s="349">
        <f t="shared" si="52"/>
        <v>0</v>
      </c>
      <c r="BP73" s="349">
        <f t="shared" si="52"/>
        <v>0</v>
      </c>
      <c r="BQ73" s="350">
        <f t="shared" ref="BQ73:BV73" si="53">+BQ47+BQ68+BQ69+BQ70+BQ71+BQ72</f>
        <v>0</v>
      </c>
      <c r="BR73" s="348">
        <f t="shared" si="53"/>
        <v>215249930</v>
      </c>
      <c r="BS73" s="349">
        <f t="shared" si="53"/>
        <v>576759475</v>
      </c>
      <c r="BT73" s="349">
        <f t="shared" si="53"/>
        <v>3911657</v>
      </c>
      <c r="BU73" s="349">
        <f t="shared" si="53"/>
        <v>21519600</v>
      </c>
      <c r="BV73" s="351">
        <f t="shared" si="53"/>
        <v>817440662</v>
      </c>
      <c r="BW73" s="121"/>
      <c r="BX73" s="368">
        <f>(BV73/I73)*100</f>
        <v>48.374066853553771</v>
      </c>
    </row>
    <row r="74" spans="1:76" ht="13.5" hidden="1" customHeight="1" x14ac:dyDescent="0.2">
      <c r="A74" s="322"/>
      <c r="B74" s="280"/>
      <c r="D74" s="320" t="s">
        <v>156</v>
      </c>
      <c r="E74" s="338">
        <v>0</v>
      </c>
      <c r="F74" s="337">
        <v>0</v>
      </c>
      <c r="G74" s="337">
        <v>0</v>
      </c>
      <c r="H74" s="352">
        <v>0</v>
      </c>
      <c r="I74" s="156">
        <v>0</v>
      </c>
      <c r="J74" s="338">
        <v>0</v>
      </c>
      <c r="K74" s="337">
        <v>0</v>
      </c>
      <c r="L74" s="337">
        <v>0</v>
      </c>
      <c r="M74" s="352">
        <v>0</v>
      </c>
      <c r="N74" s="157">
        <v>0</v>
      </c>
      <c r="O74" s="337">
        <v>0</v>
      </c>
      <c r="P74" s="337">
        <v>0</v>
      </c>
      <c r="Q74" s="337">
        <v>0</v>
      </c>
      <c r="R74" s="352">
        <v>0</v>
      </c>
      <c r="S74" s="156">
        <v>0</v>
      </c>
      <c r="T74" s="338">
        <v>0</v>
      </c>
      <c r="U74" s="337">
        <v>0</v>
      </c>
      <c r="V74" s="337">
        <v>0</v>
      </c>
      <c r="W74" s="352">
        <v>0</v>
      </c>
      <c r="X74" s="156">
        <v>0</v>
      </c>
      <c r="Y74" s="338">
        <v>0</v>
      </c>
      <c r="Z74" s="337">
        <v>0</v>
      </c>
      <c r="AA74" s="337">
        <v>0</v>
      </c>
      <c r="AB74" s="337">
        <v>0</v>
      </c>
      <c r="AC74" s="250">
        <f>SUM(Y74:AB74)</f>
        <v>0</v>
      </c>
      <c r="AD74" s="338">
        <v>0</v>
      </c>
      <c r="AE74" s="337">
        <v>0</v>
      </c>
      <c r="AF74" s="337">
        <v>0</v>
      </c>
      <c r="AG74" s="352">
        <v>0</v>
      </c>
      <c r="AH74" s="156">
        <f>SUM(AD74:AG74)</f>
        <v>0</v>
      </c>
      <c r="AI74" s="338">
        <v>0</v>
      </c>
      <c r="AJ74" s="337">
        <v>0</v>
      </c>
      <c r="AK74" s="337">
        <v>0</v>
      </c>
      <c r="AL74" s="352">
        <v>0</v>
      </c>
      <c r="AM74" s="156">
        <f>SUM(AI74:AL74)</f>
        <v>0</v>
      </c>
      <c r="AN74" s="338">
        <v>0</v>
      </c>
      <c r="AO74" s="337">
        <v>0</v>
      </c>
      <c r="AP74" s="337">
        <v>0</v>
      </c>
      <c r="AQ74" s="352">
        <v>0</v>
      </c>
      <c r="AR74" s="156">
        <f>SUM(AN74:AQ74)</f>
        <v>0</v>
      </c>
      <c r="AS74" s="338">
        <v>0</v>
      </c>
      <c r="AT74" s="337">
        <v>0</v>
      </c>
      <c r="AU74" s="337">
        <v>0</v>
      </c>
      <c r="AV74" s="352">
        <v>0</v>
      </c>
      <c r="AW74" s="156">
        <f>SUM(AS74:AV74)</f>
        <v>0</v>
      </c>
      <c r="AX74" s="338">
        <v>0</v>
      </c>
      <c r="AY74" s="337">
        <v>0</v>
      </c>
      <c r="AZ74" s="337">
        <v>0</v>
      </c>
      <c r="BA74" s="352">
        <v>0</v>
      </c>
      <c r="BB74" s="156">
        <f>SUM(AX74:BA74)</f>
        <v>0</v>
      </c>
      <c r="BC74" s="338">
        <v>0</v>
      </c>
      <c r="BD74" s="337">
        <v>0</v>
      </c>
      <c r="BE74" s="337">
        <v>0</v>
      </c>
      <c r="BF74" s="352">
        <v>0</v>
      </c>
      <c r="BG74" s="156">
        <f>SUM(BC74:BF74)</f>
        <v>0</v>
      </c>
      <c r="BH74" s="338">
        <v>0</v>
      </c>
      <c r="BI74" s="337">
        <v>0</v>
      </c>
      <c r="BJ74" s="337">
        <v>0</v>
      </c>
      <c r="BK74" s="352">
        <v>0</v>
      </c>
      <c r="BL74" s="156">
        <f>SUM(BH74:BK74)</f>
        <v>0</v>
      </c>
      <c r="BM74" s="338">
        <v>0</v>
      </c>
      <c r="BN74" s="337">
        <v>0</v>
      </c>
      <c r="BO74" s="337">
        <v>0</v>
      </c>
      <c r="BP74" s="352">
        <v>0</v>
      </c>
      <c r="BQ74" s="156">
        <f>SUM(BM74:BP74)</f>
        <v>0</v>
      </c>
      <c r="BR74" s="338">
        <v>0</v>
      </c>
      <c r="BS74" s="337">
        <v>0</v>
      </c>
      <c r="BT74" s="337">
        <v>0</v>
      </c>
      <c r="BU74" s="352">
        <v>0</v>
      </c>
      <c r="BV74" s="158">
        <f>SUM(BR74:BU74)</f>
        <v>0</v>
      </c>
      <c r="BW74" s="121"/>
      <c r="BX74" s="368" t="e">
        <f t="shared" si="15"/>
        <v>#DIV/0!</v>
      </c>
    </row>
    <row r="75" spans="1:76" ht="13.5" customHeight="1" x14ac:dyDescent="0.2">
      <c r="A75" s="322" t="s">
        <v>289</v>
      </c>
      <c r="B75" s="280"/>
      <c r="D75" s="323"/>
      <c r="E75" s="337">
        <v>0</v>
      </c>
      <c r="F75" s="337">
        <v>0</v>
      </c>
      <c r="G75" s="337">
        <v>0</v>
      </c>
      <c r="H75" s="337">
        <v>0</v>
      </c>
      <c r="I75" s="157">
        <v>0</v>
      </c>
      <c r="J75" s="338">
        <v>0</v>
      </c>
      <c r="K75" s="337">
        <v>0</v>
      </c>
      <c r="L75" s="337">
        <v>0</v>
      </c>
      <c r="M75" s="337">
        <v>0</v>
      </c>
      <c r="N75" s="157">
        <v>0</v>
      </c>
      <c r="O75" s="337">
        <v>0</v>
      </c>
      <c r="P75" s="337">
        <v>0</v>
      </c>
      <c r="Q75" s="337">
        <v>0</v>
      </c>
      <c r="R75" s="337">
        <v>0</v>
      </c>
      <c r="S75" s="157">
        <v>0</v>
      </c>
      <c r="T75" s="337">
        <v>0</v>
      </c>
      <c r="U75" s="337">
        <v>0</v>
      </c>
      <c r="V75" s="337">
        <v>0</v>
      </c>
      <c r="W75" s="337">
        <v>0</v>
      </c>
      <c r="X75" s="157">
        <v>0</v>
      </c>
      <c r="Y75" s="337">
        <v>0</v>
      </c>
      <c r="Z75" s="337">
        <v>0</v>
      </c>
      <c r="AA75" s="337">
        <v>0</v>
      </c>
      <c r="AB75" s="337">
        <v>0</v>
      </c>
      <c r="AC75" s="157">
        <f>SUM(Y75:AB75)</f>
        <v>0</v>
      </c>
      <c r="AD75" s="337">
        <v>0</v>
      </c>
      <c r="AE75" s="337">
        <v>0</v>
      </c>
      <c r="AF75" s="337">
        <v>0</v>
      </c>
      <c r="AG75" s="337">
        <v>0</v>
      </c>
      <c r="AH75" s="157">
        <f>SUM(AD75:AG75)</f>
        <v>0</v>
      </c>
      <c r="AI75" s="337">
        <v>0</v>
      </c>
      <c r="AJ75" s="337">
        <v>0</v>
      </c>
      <c r="AK75" s="337">
        <v>0</v>
      </c>
      <c r="AL75" s="337">
        <v>0</v>
      </c>
      <c r="AM75" s="157">
        <f>SUM(AI75:AL75)</f>
        <v>0</v>
      </c>
      <c r="AN75" s="337">
        <v>0</v>
      </c>
      <c r="AO75" s="337">
        <v>0</v>
      </c>
      <c r="AP75" s="337">
        <v>0</v>
      </c>
      <c r="AQ75" s="337">
        <v>0</v>
      </c>
      <c r="AR75" s="157">
        <f>SUM(AN75:AQ75)</f>
        <v>0</v>
      </c>
      <c r="AS75" s="337">
        <v>0</v>
      </c>
      <c r="AT75" s="337">
        <v>0</v>
      </c>
      <c r="AU75" s="337">
        <v>0</v>
      </c>
      <c r="AV75" s="337">
        <v>0</v>
      </c>
      <c r="AW75" s="157">
        <f>SUM(AS75:AV75)</f>
        <v>0</v>
      </c>
      <c r="AX75" s="337">
        <v>0</v>
      </c>
      <c r="AY75" s="337">
        <v>0</v>
      </c>
      <c r="AZ75" s="337">
        <v>0</v>
      </c>
      <c r="BA75" s="337">
        <v>0</v>
      </c>
      <c r="BB75" s="157">
        <f>SUM(AX75:BA75)</f>
        <v>0</v>
      </c>
      <c r="BC75" s="337">
        <v>0</v>
      </c>
      <c r="BD75" s="337">
        <v>0</v>
      </c>
      <c r="BE75" s="337">
        <v>0</v>
      </c>
      <c r="BF75" s="337">
        <v>0</v>
      </c>
      <c r="BG75" s="157">
        <f>SUM(BC75:BF75)</f>
        <v>0</v>
      </c>
      <c r="BH75" s="337">
        <v>0</v>
      </c>
      <c r="BI75" s="337">
        <v>0</v>
      </c>
      <c r="BJ75" s="337">
        <v>0</v>
      </c>
      <c r="BK75" s="337">
        <v>0</v>
      </c>
      <c r="BL75" s="157">
        <f>SUM(BH75:BK75)</f>
        <v>0</v>
      </c>
      <c r="BM75" s="337">
        <v>0</v>
      </c>
      <c r="BN75" s="337">
        <v>0</v>
      </c>
      <c r="BO75" s="337">
        <v>0</v>
      </c>
      <c r="BP75" s="337">
        <v>0</v>
      </c>
      <c r="BQ75" s="157">
        <f>SUM(BM75:BP75)</f>
        <v>0</v>
      </c>
      <c r="BR75" s="337">
        <v>0</v>
      </c>
      <c r="BS75" s="337">
        <v>0</v>
      </c>
      <c r="BT75" s="337">
        <v>0</v>
      </c>
      <c r="BU75" s="337">
        <v>0</v>
      </c>
      <c r="BV75" s="158">
        <f>SUM(BR75:BU75)</f>
        <v>0</v>
      </c>
      <c r="BW75" s="121"/>
      <c r="BX75" s="368">
        <v>0</v>
      </c>
    </row>
    <row r="76" spans="1:76" ht="13.5" hidden="1" customHeight="1" x14ac:dyDescent="0.2">
      <c r="A76" s="322"/>
      <c r="B76" s="280"/>
      <c r="D76" s="323"/>
      <c r="E76" s="337">
        <v>0</v>
      </c>
      <c r="F76" s="337">
        <v>0</v>
      </c>
      <c r="G76" s="337">
        <v>0</v>
      </c>
      <c r="H76" s="337">
        <v>0</v>
      </c>
      <c r="I76" s="157">
        <v>0</v>
      </c>
      <c r="J76" s="338">
        <v>0</v>
      </c>
      <c r="K76" s="337">
        <v>0</v>
      </c>
      <c r="L76" s="337">
        <v>0</v>
      </c>
      <c r="M76" s="337">
        <v>0</v>
      </c>
      <c r="N76" s="157">
        <v>0</v>
      </c>
      <c r="O76" s="337">
        <v>0</v>
      </c>
      <c r="P76" s="337">
        <v>0</v>
      </c>
      <c r="Q76" s="337">
        <v>0</v>
      </c>
      <c r="R76" s="337">
        <v>0</v>
      </c>
      <c r="S76" s="157">
        <v>0</v>
      </c>
      <c r="T76" s="337">
        <v>0</v>
      </c>
      <c r="U76" s="337">
        <v>0</v>
      </c>
      <c r="V76" s="337">
        <v>0</v>
      </c>
      <c r="W76" s="337">
        <v>0</v>
      </c>
      <c r="X76" s="157">
        <v>0</v>
      </c>
      <c r="Y76" s="337">
        <v>0</v>
      </c>
      <c r="Z76" s="337">
        <v>0</v>
      </c>
      <c r="AA76" s="337">
        <v>0</v>
      </c>
      <c r="AB76" s="337">
        <v>0</v>
      </c>
      <c r="AC76" s="269">
        <f>SUM(Y76:AB76)</f>
        <v>0</v>
      </c>
      <c r="AD76" s="337">
        <v>0</v>
      </c>
      <c r="AE76" s="337">
        <v>0</v>
      </c>
      <c r="AF76" s="337">
        <v>0</v>
      </c>
      <c r="AG76" s="337">
        <v>0</v>
      </c>
      <c r="AH76" s="157">
        <f>SUM(AD76:AG76)</f>
        <v>0</v>
      </c>
      <c r="AI76" s="337">
        <v>0</v>
      </c>
      <c r="AJ76" s="337">
        <v>0</v>
      </c>
      <c r="AK76" s="337">
        <v>0</v>
      </c>
      <c r="AL76" s="337">
        <v>0</v>
      </c>
      <c r="AM76" s="157">
        <f>SUM(AI76:AL76)</f>
        <v>0</v>
      </c>
      <c r="AN76" s="337">
        <v>0</v>
      </c>
      <c r="AO76" s="337">
        <v>0</v>
      </c>
      <c r="AP76" s="337">
        <v>0</v>
      </c>
      <c r="AQ76" s="337">
        <v>0</v>
      </c>
      <c r="AR76" s="157">
        <f>SUM(AN76:AQ76)</f>
        <v>0</v>
      </c>
      <c r="AS76" s="337">
        <v>0</v>
      </c>
      <c r="AT76" s="337">
        <v>0</v>
      </c>
      <c r="AU76" s="337">
        <v>0</v>
      </c>
      <c r="AV76" s="337">
        <v>0</v>
      </c>
      <c r="AW76" s="157">
        <f>SUM(AS76:AV76)</f>
        <v>0</v>
      </c>
      <c r="AX76" s="337">
        <v>0</v>
      </c>
      <c r="AY76" s="337">
        <v>0</v>
      </c>
      <c r="AZ76" s="337">
        <v>0</v>
      </c>
      <c r="BA76" s="337">
        <v>0</v>
      </c>
      <c r="BB76" s="157">
        <f>SUM(AX76:BA76)</f>
        <v>0</v>
      </c>
      <c r="BC76" s="337">
        <v>0</v>
      </c>
      <c r="BD76" s="337">
        <v>0</v>
      </c>
      <c r="BE76" s="337">
        <v>0</v>
      </c>
      <c r="BF76" s="337">
        <v>0</v>
      </c>
      <c r="BG76" s="157">
        <f>SUM(BC76:BF76)</f>
        <v>0</v>
      </c>
      <c r="BH76" s="337">
        <v>0</v>
      </c>
      <c r="BI76" s="337">
        <v>0</v>
      </c>
      <c r="BJ76" s="337">
        <v>0</v>
      </c>
      <c r="BK76" s="337">
        <v>0</v>
      </c>
      <c r="BL76" s="157">
        <f>SUM(BH76:BK76)</f>
        <v>0</v>
      </c>
      <c r="BM76" s="337">
        <v>0</v>
      </c>
      <c r="BN76" s="337">
        <v>0</v>
      </c>
      <c r="BO76" s="337">
        <v>0</v>
      </c>
      <c r="BP76" s="337">
        <v>0</v>
      </c>
      <c r="BQ76" s="157">
        <f>SUM(BM76:BP76)</f>
        <v>0</v>
      </c>
      <c r="BR76" s="337">
        <v>0</v>
      </c>
      <c r="BS76" s="337">
        <v>0</v>
      </c>
      <c r="BT76" s="337">
        <v>0</v>
      </c>
      <c r="BU76" s="337">
        <v>0</v>
      </c>
      <c r="BV76" s="158">
        <f>SUM(BR76:BU76)</f>
        <v>0</v>
      </c>
      <c r="BW76" s="121"/>
      <c r="BX76" s="368"/>
    </row>
    <row r="77" spans="1:76" x14ac:dyDescent="0.2">
      <c r="A77" s="345" t="s">
        <v>290</v>
      </c>
      <c r="B77" s="353"/>
      <c r="C77" s="346"/>
      <c r="D77" s="354"/>
      <c r="E77" s="355">
        <f>+E73+E74+E75</f>
        <v>449732094.69999999</v>
      </c>
      <c r="F77" s="355">
        <f>+F73+F74+F75</f>
        <v>1163716358</v>
      </c>
      <c r="G77" s="355">
        <f>+G73+G74+G75</f>
        <v>11702183</v>
      </c>
      <c r="H77" s="355">
        <f>+H73+H74+H75</f>
        <v>64681779</v>
      </c>
      <c r="I77" s="356">
        <f>+I73+I74+I75</f>
        <v>1689832414.7</v>
      </c>
      <c r="J77" s="357">
        <f t="shared" ref="J77:BU77" si="54">+J73+J74+J75</f>
        <v>21299829</v>
      </c>
      <c r="K77" s="355">
        <f t="shared" si="54"/>
        <v>102058569</v>
      </c>
      <c r="L77" s="355">
        <f t="shared" si="54"/>
        <v>362073</v>
      </c>
      <c r="M77" s="355">
        <f t="shared" si="54"/>
        <v>13633997</v>
      </c>
      <c r="N77" s="356">
        <f t="shared" si="54"/>
        <v>137354468</v>
      </c>
      <c r="O77" s="355">
        <f t="shared" si="54"/>
        <v>23389993</v>
      </c>
      <c r="P77" s="355">
        <f t="shared" si="54"/>
        <v>90353168</v>
      </c>
      <c r="Q77" s="355">
        <f t="shared" si="54"/>
        <v>582691</v>
      </c>
      <c r="R77" s="355">
        <f t="shared" si="54"/>
        <v>135434</v>
      </c>
      <c r="S77" s="356">
        <f t="shared" si="54"/>
        <v>114461286</v>
      </c>
      <c r="T77" s="355">
        <f t="shared" si="54"/>
        <v>39453704</v>
      </c>
      <c r="U77" s="355">
        <f t="shared" si="54"/>
        <v>83604736</v>
      </c>
      <c r="V77" s="355">
        <f t="shared" si="54"/>
        <v>553754</v>
      </c>
      <c r="W77" s="355">
        <f t="shared" si="54"/>
        <v>23276</v>
      </c>
      <c r="X77" s="356">
        <f t="shared" si="54"/>
        <v>123635470</v>
      </c>
      <c r="Y77" s="355">
        <f t="shared" si="54"/>
        <v>47785459</v>
      </c>
      <c r="Z77" s="355">
        <f t="shared" si="54"/>
        <v>124231215</v>
      </c>
      <c r="AA77" s="355">
        <f t="shared" si="54"/>
        <v>714762</v>
      </c>
      <c r="AB77" s="355">
        <f t="shared" si="54"/>
        <v>122353</v>
      </c>
      <c r="AC77" s="356">
        <f t="shared" si="54"/>
        <v>172853789</v>
      </c>
      <c r="AD77" s="355">
        <f t="shared" si="54"/>
        <v>47186195</v>
      </c>
      <c r="AE77" s="355">
        <f t="shared" si="54"/>
        <v>98938819</v>
      </c>
      <c r="AF77" s="355">
        <f t="shared" si="54"/>
        <v>844913</v>
      </c>
      <c r="AG77" s="355">
        <f t="shared" si="54"/>
        <v>3802346</v>
      </c>
      <c r="AH77" s="356">
        <f t="shared" si="54"/>
        <v>150772273</v>
      </c>
      <c r="AI77" s="355">
        <f t="shared" si="54"/>
        <v>36134750</v>
      </c>
      <c r="AJ77" s="355">
        <f t="shared" si="54"/>
        <v>77572968</v>
      </c>
      <c r="AK77" s="355">
        <f t="shared" si="54"/>
        <v>853464</v>
      </c>
      <c r="AL77" s="355">
        <f t="shared" si="54"/>
        <v>3802194</v>
      </c>
      <c r="AM77" s="356">
        <f t="shared" si="54"/>
        <v>118363376</v>
      </c>
      <c r="AN77" s="355">
        <f t="shared" si="54"/>
        <v>0</v>
      </c>
      <c r="AO77" s="355">
        <f t="shared" si="54"/>
        <v>0</v>
      </c>
      <c r="AP77" s="355">
        <f t="shared" si="54"/>
        <v>0</v>
      </c>
      <c r="AQ77" s="355">
        <f t="shared" si="54"/>
        <v>0</v>
      </c>
      <c r="AR77" s="356">
        <f t="shared" si="54"/>
        <v>0</v>
      </c>
      <c r="AS77" s="355">
        <f t="shared" si="54"/>
        <v>0</v>
      </c>
      <c r="AT77" s="355">
        <f t="shared" si="54"/>
        <v>0</v>
      </c>
      <c r="AU77" s="355">
        <f t="shared" si="54"/>
        <v>0</v>
      </c>
      <c r="AV77" s="355">
        <f t="shared" si="54"/>
        <v>0</v>
      </c>
      <c r="AW77" s="356">
        <f t="shared" si="54"/>
        <v>0</v>
      </c>
      <c r="AX77" s="355">
        <f t="shared" si="54"/>
        <v>0</v>
      </c>
      <c r="AY77" s="355">
        <f t="shared" si="54"/>
        <v>0</v>
      </c>
      <c r="AZ77" s="355">
        <f t="shared" si="54"/>
        <v>0</v>
      </c>
      <c r="BA77" s="355">
        <f t="shared" si="54"/>
        <v>0</v>
      </c>
      <c r="BB77" s="356">
        <f t="shared" si="54"/>
        <v>0</v>
      </c>
      <c r="BC77" s="355">
        <f t="shared" si="54"/>
        <v>0</v>
      </c>
      <c r="BD77" s="355">
        <f t="shared" si="54"/>
        <v>0</v>
      </c>
      <c r="BE77" s="355">
        <f t="shared" si="54"/>
        <v>0</v>
      </c>
      <c r="BF77" s="355">
        <f t="shared" si="54"/>
        <v>0</v>
      </c>
      <c r="BG77" s="356">
        <f t="shared" si="54"/>
        <v>0</v>
      </c>
      <c r="BH77" s="355">
        <f t="shared" si="54"/>
        <v>0</v>
      </c>
      <c r="BI77" s="355">
        <f t="shared" si="54"/>
        <v>0</v>
      </c>
      <c r="BJ77" s="355">
        <f t="shared" si="54"/>
        <v>0</v>
      </c>
      <c r="BK77" s="355">
        <f t="shared" si="54"/>
        <v>0</v>
      </c>
      <c r="BL77" s="356">
        <f t="shared" si="54"/>
        <v>0</v>
      </c>
      <c r="BM77" s="355">
        <f t="shared" si="54"/>
        <v>0</v>
      </c>
      <c r="BN77" s="355">
        <f t="shared" si="54"/>
        <v>0</v>
      </c>
      <c r="BO77" s="355">
        <f t="shared" si="54"/>
        <v>0</v>
      </c>
      <c r="BP77" s="355">
        <f t="shared" si="54"/>
        <v>0</v>
      </c>
      <c r="BQ77" s="356">
        <f t="shared" si="54"/>
        <v>0</v>
      </c>
      <c r="BR77" s="355">
        <f t="shared" si="54"/>
        <v>215249930</v>
      </c>
      <c r="BS77" s="355">
        <f t="shared" si="54"/>
        <v>576759475</v>
      </c>
      <c r="BT77" s="355">
        <f t="shared" si="54"/>
        <v>3911657</v>
      </c>
      <c r="BU77" s="355">
        <f t="shared" si="54"/>
        <v>21519600</v>
      </c>
      <c r="BV77" s="358">
        <f t="shared" ref="BV77" si="55">+BV73+BV74+BV75</f>
        <v>817440662</v>
      </c>
      <c r="BW77" s="359"/>
      <c r="BX77" s="368">
        <f>(BV77/I77)*100</f>
        <v>48.374066853553771</v>
      </c>
    </row>
    <row r="78" spans="1:76" ht="13.9" customHeight="1" x14ac:dyDescent="0.2">
      <c r="A78" s="360" t="s">
        <v>291</v>
      </c>
      <c r="B78" s="361"/>
      <c r="C78" s="361"/>
      <c r="D78" s="304"/>
      <c r="E78" s="362"/>
      <c r="F78" s="363"/>
      <c r="G78" s="363"/>
      <c r="H78" s="363"/>
      <c r="I78" s="363"/>
      <c r="J78" s="363"/>
      <c r="K78" s="363"/>
      <c r="L78" s="363"/>
      <c r="M78" s="363"/>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c r="AN78" s="363"/>
      <c r="AO78" s="363"/>
      <c r="AP78" s="363"/>
      <c r="AQ78" s="363"/>
      <c r="AR78" s="363"/>
      <c r="AS78" s="363"/>
      <c r="AT78" s="363"/>
      <c r="AU78" s="363"/>
      <c r="AV78" s="363"/>
      <c r="AW78" s="363"/>
      <c r="AX78" s="363"/>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row>
    <row r="79" spans="1:76" ht="13.9" customHeight="1" x14ac:dyDescent="0.2">
      <c r="A79" s="330" t="s">
        <v>324</v>
      </c>
      <c r="B79" s="365"/>
      <c r="C79" s="365"/>
      <c r="D79" s="365"/>
      <c r="E79" s="365"/>
      <c r="F79" s="365"/>
      <c r="G79" s="365"/>
      <c r="H79" s="365"/>
      <c r="I79" s="179"/>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row>
    <row r="80" spans="1:76" x14ac:dyDescent="0.2">
      <c r="A80" s="330" t="s">
        <v>325</v>
      </c>
      <c r="B80" s="365"/>
      <c r="C80" s="365"/>
      <c r="D80" s="365"/>
      <c r="E80" s="365"/>
      <c r="F80" s="365"/>
      <c r="G80" s="365"/>
      <c r="H80" s="365"/>
      <c r="I80" s="365"/>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row>
    <row r="81" spans="1:75" ht="12" customHeight="1" x14ac:dyDescent="0.2">
      <c r="A81" s="360" t="s">
        <v>326</v>
      </c>
      <c r="B81" s="376"/>
      <c r="C81" s="376"/>
      <c r="D81" s="304"/>
      <c r="E81" s="362"/>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row>
    <row r="82" spans="1:75" ht="13.9" customHeight="1" x14ac:dyDescent="0.2">
      <c r="A82" s="331" t="s">
        <v>296</v>
      </c>
      <c r="B82" s="331"/>
      <c r="C82" s="331"/>
      <c r="D82" s="331"/>
      <c r="E82" s="331"/>
      <c r="F82" s="331"/>
      <c r="G82" s="331"/>
      <c r="H82" s="331"/>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row>
    <row r="83" spans="1:75" x14ac:dyDescent="0.2">
      <c r="A83" s="330"/>
      <c r="B83" s="365"/>
      <c r="C83" s="365"/>
      <c r="D83" s="365"/>
      <c r="E83" s="365"/>
      <c r="F83" s="365"/>
      <c r="G83" s="365"/>
      <c r="H83" s="365"/>
      <c r="I83" s="179"/>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row>
    <row r="86" spans="1:75" x14ac:dyDescent="0.2">
      <c r="B86" s="86"/>
      <c r="C86" s="304"/>
      <c r="D86" s="304"/>
      <c r="E86" s="362"/>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W86" s="280"/>
    </row>
    <row r="87" spans="1:75" x14ac:dyDescent="0.2">
      <c r="B87" s="86"/>
      <c r="C87" s="304"/>
      <c r="D87" s="304"/>
      <c r="E87" s="362"/>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c r="BI87" s="363"/>
      <c r="BJ87" s="363"/>
      <c r="BK87" s="363"/>
      <c r="BL87" s="363"/>
      <c r="BM87" s="363"/>
      <c r="BN87" s="363"/>
      <c r="BO87" s="363"/>
      <c r="BP87" s="363"/>
      <c r="BQ87" s="363"/>
      <c r="BR87" s="363"/>
      <c r="BS87" s="363"/>
      <c r="BT87" s="363"/>
      <c r="BU87" s="363"/>
      <c r="BV87" s="363"/>
      <c r="BW87" s="280"/>
    </row>
    <row r="88" spans="1:75" x14ac:dyDescent="0.2">
      <c r="B88" s="86"/>
      <c r="C88" s="304"/>
      <c r="D88" s="304"/>
      <c r="E88" s="362"/>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63"/>
      <c r="AZ88" s="363"/>
      <c r="BA88" s="363"/>
      <c r="BB88" s="363"/>
      <c r="BC88" s="363"/>
      <c r="BD88" s="363"/>
      <c r="BE88" s="363"/>
      <c r="BF88" s="363"/>
      <c r="BG88" s="363"/>
      <c r="BH88" s="363"/>
      <c r="BI88" s="363"/>
      <c r="BJ88" s="363"/>
      <c r="BK88" s="363"/>
      <c r="BL88" s="363"/>
      <c r="BM88" s="363"/>
      <c r="BN88" s="363"/>
      <c r="BO88" s="363"/>
      <c r="BP88" s="363"/>
      <c r="BQ88" s="363"/>
      <c r="BR88" s="363"/>
      <c r="BS88" s="363"/>
      <c r="BT88" s="363"/>
      <c r="BU88" s="363"/>
      <c r="BV88" s="363"/>
      <c r="BW88" s="280"/>
    </row>
    <row r="89" spans="1:75" x14ac:dyDescent="0.2">
      <c r="B89" s="86"/>
      <c r="C89" s="304"/>
      <c r="D89" s="304"/>
      <c r="E89" s="362"/>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3"/>
      <c r="BM89" s="363"/>
      <c r="BN89" s="363"/>
      <c r="BO89" s="363"/>
      <c r="BP89" s="363"/>
      <c r="BQ89" s="363"/>
      <c r="BR89" s="363"/>
      <c r="BS89" s="363"/>
      <c r="BT89" s="363"/>
      <c r="BU89" s="363"/>
      <c r="BV89" s="363"/>
      <c r="BW89" s="280"/>
    </row>
    <row r="90" spans="1:75" x14ac:dyDescent="0.2">
      <c r="B90" s="86"/>
      <c r="C90" s="304"/>
      <c r="D90" s="304"/>
      <c r="E90" s="362"/>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N90" s="363"/>
      <c r="BO90" s="363"/>
      <c r="BP90" s="363"/>
      <c r="BQ90" s="363"/>
      <c r="BR90" s="363"/>
      <c r="BS90" s="363"/>
      <c r="BT90" s="363"/>
      <c r="BU90" s="363"/>
      <c r="BV90" s="363"/>
      <c r="BW90" s="280"/>
    </row>
    <row r="91" spans="1:75" x14ac:dyDescent="0.2">
      <c r="B91" s="86"/>
      <c r="C91" s="304"/>
      <c r="D91" s="304"/>
      <c r="E91" s="362"/>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363"/>
      <c r="BO91" s="363"/>
      <c r="BP91" s="363"/>
      <c r="BQ91" s="363"/>
      <c r="BR91" s="363"/>
      <c r="BS91" s="363"/>
      <c r="BT91" s="363"/>
      <c r="BU91" s="363"/>
      <c r="BV91" s="363"/>
      <c r="BW91" s="280"/>
    </row>
    <row r="92" spans="1:75" x14ac:dyDescent="0.2">
      <c r="B92" s="86"/>
      <c r="C92" s="304"/>
      <c r="D92" s="304"/>
      <c r="E92" s="362"/>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row>
    <row r="93" spans="1:75" x14ac:dyDescent="0.2">
      <c r="B93" s="86"/>
      <c r="C93" s="304"/>
      <c r="D93" s="304"/>
      <c r="E93" s="362"/>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363"/>
      <c r="BO93" s="363"/>
      <c r="BP93" s="363"/>
      <c r="BQ93" s="363"/>
      <c r="BR93" s="363"/>
      <c r="BS93" s="363"/>
      <c r="BT93" s="363"/>
      <c r="BU93" s="363"/>
      <c r="BV93" s="363"/>
    </row>
    <row r="94" spans="1:75" x14ac:dyDescent="0.2">
      <c r="B94" s="86"/>
      <c r="C94" s="304"/>
      <c r="D94" s="304"/>
      <c r="E94" s="362"/>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c r="BR94" s="363"/>
      <c r="BS94" s="363"/>
      <c r="BT94" s="363"/>
      <c r="BU94" s="363"/>
      <c r="BV94" s="363"/>
    </row>
    <row r="95" spans="1:75" x14ac:dyDescent="0.2">
      <c r="B95" s="86"/>
      <c r="C95" s="304"/>
      <c r="D95" s="304"/>
      <c r="E95" s="362"/>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363"/>
      <c r="BU95" s="363"/>
      <c r="BV95" s="363"/>
    </row>
    <row r="96" spans="1:75" x14ac:dyDescent="0.2">
      <c r="B96" s="86"/>
      <c r="C96" s="304"/>
      <c r="D96" s="304"/>
      <c r="E96" s="362"/>
      <c r="F96" s="363"/>
      <c r="G96" s="363"/>
      <c r="H96" s="363"/>
      <c r="I96" s="363"/>
      <c r="J96" s="363"/>
      <c r="K96" s="363"/>
      <c r="L96" s="36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c r="BR96" s="363"/>
      <c r="BS96" s="363"/>
      <c r="BT96" s="363"/>
      <c r="BU96" s="363"/>
      <c r="BV96" s="363"/>
    </row>
    <row r="97" spans="2:74" x14ac:dyDescent="0.2">
      <c r="B97" s="86"/>
      <c r="C97" s="304"/>
      <c r="D97" s="304"/>
      <c r="E97" s="362"/>
      <c r="F97" s="363"/>
      <c r="G97" s="363"/>
      <c r="H97" s="363"/>
      <c r="I97" s="363"/>
      <c r="J97" s="363"/>
      <c r="K97" s="363"/>
      <c r="L97" s="36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row>
    <row r="98" spans="2:74" x14ac:dyDescent="0.2">
      <c r="B98" s="86"/>
      <c r="C98" s="304"/>
      <c r="D98" s="304"/>
      <c r="E98" s="362"/>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c r="BI98" s="363"/>
      <c r="BJ98" s="363"/>
      <c r="BK98" s="363"/>
      <c r="BL98" s="363"/>
      <c r="BM98" s="363"/>
      <c r="BN98" s="363"/>
      <c r="BO98" s="363"/>
      <c r="BP98" s="363"/>
      <c r="BQ98" s="363"/>
      <c r="BR98" s="363"/>
      <c r="BS98" s="363"/>
      <c r="BT98" s="363"/>
      <c r="BU98" s="363"/>
      <c r="BV98" s="363"/>
    </row>
    <row r="99" spans="2:74" x14ac:dyDescent="0.2">
      <c r="B99" s="86"/>
      <c r="C99" s="304"/>
      <c r="D99" s="304"/>
      <c r="E99" s="362"/>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c r="BP99" s="363"/>
      <c r="BQ99" s="363"/>
      <c r="BR99" s="363"/>
      <c r="BS99" s="363"/>
      <c r="BT99" s="363"/>
      <c r="BU99" s="363"/>
      <c r="BV99" s="363"/>
    </row>
    <row r="100" spans="2:74" x14ac:dyDescent="0.2">
      <c r="B100" s="86"/>
      <c r="C100" s="304"/>
      <c r="D100" s="304"/>
      <c r="E100" s="362"/>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c r="BR100" s="363"/>
      <c r="BS100" s="363"/>
      <c r="BT100" s="363"/>
      <c r="BU100" s="363"/>
      <c r="BV100" s="363"/>
    </row>
    <row r="101" spans="2:74" x14ac:dyDescent="0.2">
      <c r="B101" s="86"/>
      <c r="C101" s="304"/>
      <c r="D101" s="304"/>
      <c r="E101" s="362"/>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3"/>
      <c r="BS101" s="363"/>
      <c r="BT101" s="363"/>
      <c r="BU101" s="363"/>
      <c r="BV101" s="363"/>
    </row>
    <row r="102" spans="2:74" x14ac:dyDescent="0.2">
      <c r="B102" s="86"/>
      <c r="C102" s="304"/>
      <c r="D102" s="304"/>
      <c r="E102" s="362"/>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c r="BI102" s="363"/>
      <c r="BJ102" s="363"/>
      <c r="BK102" s="363"/>
      <c r="BL102" s="363"/>
      <c r="BM102" s="363"/>
      <c r="BN102" s="363"/>
      <c r="BO102" s="363"/>
      <c r="BP102" s="363"/>
      <c r="BQ102" s="363"/>
      <c r="BR102" s="363"/>
      <c r="BS102" s="363"/>
      <c r="BT102" s="363"/>
      <c r="BU102" s="363"/>
      <c r="BV102" s="363"/>
    </row>
    <row r="103" spans="2:74" x14ac:dyDescent="0.2">
      <c r="B103" s="86"/>
      <c r="C103" s="304"/>
      <c r="D103" s="304"/>
      <c r="E103" s="362"/>
      <c r="F103" s="363"/>
      <c r="G103" s="363"/>
      <c r="H103" s="363"/>
      <c r="I103" s="363"/>
      <c r="J103" s="363"/>
      <c r="K103" s="363"/>
      <c r="L103" s="36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c r="BR103" s="363"/>
      <c r="BS103" s="363"/>
      <c r="BT103" s="363"/>
      <c r="BU103" s="363"/>
      <c r="BV103" s="363"/>
    </row>
    <row r="104" spans="2:74" x14ac:dyDescent="0.2">
      <c r="B104" s="86"/>
      <c r="C104" s="304"/>
      <c r="D104" s="304"/>
      <c r="E104" s="362"/>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c r="BR104" s="363"/>
      <c r="BS104" s="363"/>
      <c r="BT104" s="363"/>
      <c r="BU104" s="363"/>
      <c r="BV104" s="363"/>
    </row>
    <row r="105" spans="2:74" x14ac:dyDescent="0.2">
      <c r="B105" s="86"/>
      <c r="C105" s="304"/>
      <c r="D105" s="304"/>
      <c r="E105" s="362"/>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c r="BI105" s="363"/>
      <c r="BJ105" s="363"/>
      <c r="BK105" s="363"/>
      <c r="BL105" s="363"/>
      <c r="BM105" s="363"/>
      <c r="BN105" s="363"/>
      <c r="BO105" s="363"/>
      <c r="BP105" s="363"/>
      <c r="BQ105" s="363"/>
      <c r="BR105" s="363"/>
      <c r="BS105" s="363"/>
      <c r="BT105" s="363"/>
      <c r="BU105" s="363"/>
      <c r="BV105" s="363"/>
    </row>
    <row r="106" spans="2:74" x14ac:dyDescent="0.2">
      <c r="B106" s="86"/>
      <c r="C106" s="304"/>
      <c r="D106" s="304"/>
      <c r="E106" s="362"/>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c r="BR106" s="363"/>
      <c r="BS106" s="363"/>
      <c r="BT106" s="363"/>
      <c r="BU106" s="363"/>
      <c r="BV106" s="363"/>
    </row>
    <row r="107" spans="2:74" x14ac:dyDescent="0.2">
      <c r="B107" s="86"/>
      <c r="C107" s="304"/>
      <c r="D107" s="304"/>
      <c r="E107" s="362"/>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row>
    <row r="108" spans="2:74" x14ac:dyDescent="0.2">
      <c r="B108" s="86"/>
      <c r="C108" s="304"/>
      <c r="D108" s="304"/>
      <c r="E108" s="362"/>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c r="BI108" s="363"/>
      <c r="BJ108" s="363"/>
      <c r="BK108" s="363"/>
      <c r="BL108" s="363"/>
      <c r="BM108" s="363"/>
      <c r="BN108" s="363"/>
      <c r="BO108" s="363"/>
      <c r="BP108" s="363"/>
      <c r="BQ108" s="363"/>
      <c r="BR108" s="363"/>
      <c r="BS108" s="363"/>
      <c r="BT108" s="363"/>
      <c r="BU108" s="363"/>
      <c r="BV108" s="363"/>
    </row>
    <row r="109" spans="2:74" x14ac:dyDescent="0.2">
      <c r="B109" s="86"/>
      <c r="C109" s="304"/>
      <c r="D109" s="304"/>
      <c r="E109" s="362"/>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row>
    <row r="110" spans="2:74" x14ac:dyDescent="0.2">
      <c r="B110" s="86"/>
      <c r="C110" s="304"/>
      <c r="D110" s="304"/>
      <c r="E110" s="362"/>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c r="BR110" s="363"/>
      <c r="BS110" s="363"/>
      <c r="BT110" s="363"/>
      <c r="BU110" s="363"/>
      <c r="BV110" s="363"/>
    </row>
    <row r="111" spans="2:74" x14ac:dyDescent="0.2">
      <c r="B111" s="86"/>
      <c r="C111" s="304"/>
      <c r="D111" s="304"/>
      <c r="E111" s="362"/>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c r="BR111" s="363"/>
      <c r="BS111" s="363"/>
      <c r="BT111" s="363"/>
      <c r="BU111" s="363"/>
      <c r="BV111" s="363"/>
    </row>
    <row r="112" spans="2:74" x14ac:dyDescent="0.2">
      <c r="B112" s="280"/>
      <c r="D112" s="280"/>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row>
    <row r="113" spans="2:74" x14ac:dyDescent="0.2">
      <c r="B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row>
    <row r="114" spans="2:74" x14ac:dyDescent="0.2">
      <c r="B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row>
    <row r="115" spans="2:74" x14ac:dyDescent="0.2">
      <c r="B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row>
    <row r="116" spans="2:74" x14ac:dyDescent="0.2">
      <c r="B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row>
    <row r="117" spans="2:74" x14ac:dyDescent="0.2">
      <c r="B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row>
    <row r="118" spans="2:74" x14ac:dyDescent="0.2">
      <c r="B118" s="280"/>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80"/>
      <c r="BM118" s="280"/>
      <c r="BN118" s="280"/>
      <c r="BO118" s="280"/>
      <c r="BP118" s="280"/>
      <c r="BQ118" s="280"/>
      <c r="BR118" s="280"/>
      <c r="BS118" s="280"/>
      <c r="BT118" s="280"/>
      <c r="BU118" s="280"/>
      <c r="BV118" s="280"/>
    </row>
    <row r="119" spans="2:74" x14ac:dyDescent="0.2">
      <c r="B119" s="280"/>
      <c r="D119" s="280"/>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80"/>
      <c r="BM119" s="280"/>
      <c r="BN119" s="280"/>
      <c r="BO119" s="280"/>
      <c r="BP119" s="280"/>
      <c r="BQ119" s="280"/>
      <c r="BR119" s="280"/>
      <c r="BS119" s="280"/>
      <c r="BT119" s="280"/>
      <c r="BU119" s="280"/>
      <c r="BV119" s="280"/>
    </row>
    <row r="120" spans="2:74" x14ac:dyDescent="0.2">
      <c r="B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80"/>
      <c r="BM120" s="280"/>
      <c r="BN120" s="280"/>
      <c r="BO120" s="280"/>
      <c r="BP120" s="280"/>
      <c r="BQ120" s="280"/>
      <c r="BR120" s="280"/>
      <c r="BS120" s="280"/>
      <c r="BT120" s="280"/>
      <c r="BU120" s="280"/>
      <c r="BV120" s="280"/>
    </row>
    <row r="121" spans="2:74" x14ac:dyDescent="0.2">
      <c r="B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80"/>
      <c r="BM121" s="280"/>
      <c r="BN121" s="280"/>
      <c r="BO121" s="280"/>
      <c r="BP121" s="280"/>
      <c r="BQ121" s="280"/>
      <c r="BR121" s="280"/>
      <c r="BS121" s="280"/>
      <c r="BT121" s="280"/>
      <c r="BU121" s="280"/>
      <c r="BV121" s="280"/>
    </row>
    <row r="122" spans="2:74" x14ac:dyDescent="0.2">
      <c r="B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80"/>
      <c r="BM122" s="280"/>
      <c r="BN122" s="280"/>
      <c r="BO122" s="280"/>
      <c r="BP122" s="280"/>
      <c r="BQ122" s="280"/>
      <c r="BR122" s="280"/>
      <c r="BS122" s="280"/>
      <c r="BT122" s="280"/>
      <c r="BU122" s="280"/>
      <c r="BV122" s="280"/>
    </row>
    <row r="123" spans="2:74" x14ac:dyDescent="0.2">
      <c r="B123" s="280"/>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80"/>
      <c r="BM123" s="280"/>
      <c r="BN123" s="280"/>
      <c r="BO123" s="280"/>
      <c r="BP123" s="280"/>
      <c r="BQ123" s="280"/>
      <c r="BR123" s="280"/>
      <c r="BS123" s="280"/>
      <c r="BT123" s="280"/>
      <c r="BU123" s="280"/>
      <c r="BV123" s="280"/>
    </row>
    <row r="124" spans="2:74" x14ac:dyDescent="0.2">
      <c r="B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row>
    <row r="125" spans="2:74" x14ac:dyDescent="0.2">
      <c r="B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row>
    <row r="126" spans="2:74" x14ac:dyDescent="0.2">
      <c r="B126" s="280"/>
      <c r="D126" s="28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row>
    <row r="127" spans="2:74" x14ac:dyDescent="0.2">
      <c r="B127" s="280"/>
      <c r="D127" s="280"/>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row>
    <row r="128" spans="2:74" x14ac:dyDescent="0.2">
      <c r="B128" s="86"/>
      <c r="C128" s="304"/>
      <c r="D128" s="304"/>
      <c r="E128" s="362"/>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3"/>
      <c r="AY128" s="363"/>
      <c r="AZ128" s="363"/>
      <c r="BA128" s="363"/>
      <c r="BB128" s="363"/>
      <c r="BC128" s="363"/>
      <c r="BD128" s="363"/>
      <c r="BE128" s="363"/>
      <c r="BF128" s="363"/>
      <c r="BG128" s="363"/>
      <c r="BH128" s="363"/>
      <c r="BI128" s="363"/>
      <c r="BJ128" s="363"/>
      <c r="BK128" s="363"/>
      <c r="BL128" s="363"/>
      <c r="BM128" s="363"/>
      <c r="BN128" s="363"/>
      <c r="BO128" s="363"/>
      <c r="BP128" s="363"/>
      <c r="BQ128" s="363"/>
      <c r="BR128" s="363"/>
      <c r="BS128" s="363"/>
      <c r="BT128" s="363"/>
      <c r="BU128" s="363"/>
      <c r="BV128" s="363"/>
    </row>
    <row r="129" spans="2:74" x14ac:dyDescent="0.2">
      <c r="B129" s="86"/>
      <c r="C129" s="86"/>
      <c r="D129" s="86"/>
      <c r="E129" s="362"/>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c r="AV129" s="363"/>
      <c r="AW129" s="363"/>
      <c r="AX129" s="363"/>
      <c r="AY129" s="363"/>
      <c r="AZ129" s="363"/>
      <c r="BA129" s="363"/>
      <c r="BB129" s="363"/>
      <c r="BC129" s="363"/>
      <c r="BD129" s="363"/>
      <c r="BE129" s="363"/>
      <c r="BF129" s="363"/>
      <c r="BG129" s="363"/>
      <c r="BH129" s="363"/>
      <c r="BI129" s="363"/>
      <c r="BJ129" s="363"/>
      <c r="BK129" s="363"/>
      <c r="BL129" s="363"/>
      <c r="BM129" s="363"/>
      <c r="BN129" s="363"/>
      <c r="BO129" s="363"/>
      <c r="BP129" s="363"/>
      <c r="BQ129" s="363"/>
      <c r="BR129" s="363"/>
      <c r="BS129" s="363"/>
      <c r="BT129" s="363"/>
      <c r="BU129" s="363"/>
      <c r="BV129" s="363"/>
    </row>
    <row r="130" spans="2:74" x14ac:dyDescent="0.2">
      <c r="B130" s="86"/>
      <c r="C130" s="304"/>
      <c r="D130" s="304"/>
      <c r="E130" s="362"/>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63"/>
      <c r="BM130" s="363"/>
      <c r="BN130" s="363"/>
      <c r="BO130" s="363"/>
      <c r="BP130" s="363"/>
      <c r="BQ130" s="363"/>
      <c r="BR130" s="363"/>
      <c r="BS130" s="363"/>
      <c r="BT130" s="363"/>
      <c r="BU130" s="363"/>
      <c r="BV130" s="363"/>
    </row>
    <row r="131" spans="2:74" x14ac:dyDescent="0.2">
      <c r="B131" s="314"/>
      <c r="C131" s="304"/>
      <c r="D131" s="304"/>
      <c r="E131" s="362"/>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3"/>
      <c r="BM131" s="363"/>
      <c r="BN131" s="363"/>
      <c r="BO131" s="363"/>
      <c r="BP131" s="363"/>
      <c r="BQ131" s="363"/>
      <c r="BR131" s="363"/>
      <c r="BS131" s="363"/>
      <c r="BT131" s="363"/>
      <c r="BU131" s="363"/>
      <c r="BV131" s="363"/>
    </row>
    <row r="132" spans="2:74" x14ac:dyDescent="0.2">
      <c r="B132" s="86"/>
      <c r="C132" s="304"/>
      <c r="D132" s="304"/>
      <c r="E132" s="362"/>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3"/>
      <c r="BH132" s="363"/>
      <c r="BI132" s="363"/>
      <c r="BJ132" s="363"/>
      <c r="BK132" s="363"/>
      <c r="BL132" s="363"/>
      <c r="BM132" s="363"/>
      <c r="BN132" s="363"/>
      <c r="BO132" s="363"/>
      <c r="BP132" s="363"/>
      <c r="BQ132" s="363"/>
      <c r="BR132" s="363"/>
      <c r="BS132" s="363"/>
      <c r="BT132" s="363"/>
      <c r="BU132" s="363"/>
      <c r="BV132" s="363"/>
    </row>
    <row r="133" spans="2:74" x14ac:dyDescent="0.2">
      <c r="B133" s="86"/>
      <c r="C133" s="304"/>
      <c r="D133" s="304"/>
      <c r="E133" s="362"/>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3"/>
      <c r="BM133" s="363"/>
      <c r="BN133" s="363"/>
      <c r="BO133" s="363"/>
      <c r="BP133" s="363"/>
      <c r="BQ133" s="363"/>
      <c r="BR133" s="363"/>
      <c r="BS133" s="363"/>
      <c r="BT133" s="363"/>
      <c r="BU133" s="363"/>
      <c r="BV133" s="363"/>
    </row>
    <row r="134" spans="2:74" x14ac:dyDescent="0.2">
      <c r="B134" s="86"/>
      <c r="C134" s="304"/>
      <c r="D134" s="304"/>
      <c r="E134" s="362"/>
      <c r="F134" s="363"/>
      <c r="G134" s="363"/>
      <c r="H134" s="363"/>
      <c r="I134" s="363"/>
      <c r="J134" s="363"/>
      <c r="K134" s="363"/>
      <c r="L134" s="363"/>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3"/>
      <c r="BH134" s="363"/>
      <c r="BI134" s="363"/>
      <c r="BJ134" s="363"/>
      <c r="BK134" s="363"/>
      <c r="BL134" s="363"/>
      <c r="BM134" s="363"/>
      <c r="BN134" s="363"/>
      <c r="BO134" s="363"/>
      <c r="BP134" s="363"/>
      <c r="BQ134" s="363"/>
      <c r="BR134" s="363"/>
      <c r="BS134" s="363"/>
      <c r="BT134" s="363"/>
      <c r="BU134" s="363"/>
      <c r="BV134" s="363"/>
    </row>
    <row r="135" spans="2:74" x14ac:dyDescent="0.2">
      <c r="B135" s="86"/>
      <c r="C135" s="304"/>
      <c r="D135" s="304"/>
      <c r="E135" s="362"/>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3"/>
      <c r="AY135" s="363"/>
      <c r="AZ135" s="363"/>
      <c r="BA135" s="363"/>
      <c r="BB135" s="363"/>
      <c r="BC135" s="363"/>
      <c r="BD135" s="363"/>
      <c r="BE135" s="363"/>
      <c r="BF135" s="363"/>
      <c r="BG135" s="363"/>
      <c r="BH135" s="363"/>
      <c r="BI135" s="363"/>
      <c r="BJ135" s="363"/>
      <c r="BK135" s="363"/>
      <c r="BL135" s="363"/>
      <c r="BM135" s="363"/>
      <c r="BN135" s="363"/>
      <c r="BO135" s="363"/>
      <c r="BP135" s="363"/>
      <c r="BQ135" s="363"/>
      <c r="BR135" s="363"/>
      <c r="BS135" s="363"/>
      <c r="BT135" s="363"/>
      <c r="BU135" s="363"/>
      <c r="BV135" s="363"/>
    </row>
    <row r="136" spans="2:74" x14ac:dyDescent="0.2">
      <c r="B136" s="86"/>
      <c r="C136" s="304"/>
      <c r="D136" s="304"/>
      <c r="E136" s="362"/>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3"/>
      <c r="AY136" s="363"/>
      <c r="AZ136" s="363"/>
      <c r="BA136" s="363"/>
      <c r="BB136" s="363"/>
      <c r="BC136" s="363"/>
      <c r="BD136" s="363"/>
      <c r="BE136" s="363"/>
      <c r="BF136" s="363"/>
      <c r="BG136" s="363"/>
      <c r="BH136" s="363"/>
      <c r="BI136" s="363"/>
      <c r="BJ136" s="363"/>
      <c r="BK136" s="363"/>
      <c r="BL136" s="363"/>
      <c r="BM136" s="363"/>
      <c r="BN136" s="363"/>
      <c r="BO136" s="363"/>
      <c r="BP136" s="363"/>
      <c r="BQ136" s="363"/>
      <c r="BR136" s="363"/>
      <c r="BS136" s="363"/>
      <c r="BT136" s="363"/>
      <c r="BU136" s="363"/>
      <c r="BV136" s="363"/>
    </row>
    <row r="137" spans="2:74" x14ac:dyDescent="0.2">
      <c r="B137" s="86"/>
      <c r="C137" s="304"/>
      <c r="D137" s="304"/>
      <c r="E137" s="362"/>
      <c r="F137" s="363"/>
      <c r="G137" s="363"/>
      <c r="H137" s="363"/>
      <c r="I137" s="363"/>
      <c r="J137" s="363"/>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c r="AV137" s="363"/>
      <c r="AW137" s="363"/>
      <c r="AX137" s="363"/>
      <c r="AY137" s="363"/>
      <c r="AZ137" s="363"/>
      <c r="BA137" s="363"/>
      <c r="BB137" s="363"/>
      <c r="BC137" s="363"/>
      <c r="BD137" s="363"/>
      <c r="BE137" s="363"/>
      <c r="BF137" s="363"/>
      <c r="BG137" s="363"/>
      <c r="BH137" s="363"/>
      <c r="BI137" s="363"/>
      <c r="BJ137" s="363"/>
      <c r="BK137" s="363"/>
      <c r="BL137" s="363"/>
      <c r="BM137" s="363"/>
      <c r="BN137" s="363"/>
      <c r="BO137" s="363"/>
      <c r="BP137" s="363"/>
      <c r="BQ137" s="363"/>
      <c r="BR137" s="363"/>
      <c r="BS137" s="363"/>
      <c r="BT137" s="363"/>
      <c r="BU137" s="363"/>
      <c r="BV137" s="363"/>
    </row>
    <row r="138" spans="2:74" x14ac:dyDescent="0.2">
      <c r="B138" s="86"/>
      <c r="C138" s="304"/>
      <c r="D138" s="304"/>
      <c r="E138" s="362"/>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c r="BA138" s="363"/>
      <c r="BB138" s="363"/>
      <c r="BC138" s="363"/>
      <c r="BD138" s="363"/>
      <c r="BE138" s="363"/>
      <c r="BF138" s="363"/>
      <c r="BG138" s="363"/>
      <c r="BH138" s="363"/>
      <c r="BI138" s="363"/>
      <c r="BJ138" s="363"/>
      <c r="BK138" s="363"/>
      <c r="BL138" s="363"/>
      <c r="BM138" s="363"/>
      <c r="BN138" s="363"/>
      <c r="BO138" s="363"/>
      <c r="BP138" s="363"/>
      <c r="BQ138" s="363"/>
      <c r="BR138" s="363"/>
      <c r="BS138" s="363"/>
      <c r="BT138" s="363"/>
      <c r="BU138" s="363"/>
      <c r="BV138" s="363"/>
    </row>
    <row r="139" spans="2:74" x14ac:dyDescent="0.2">
      <c r="B139" s="86"/>
      <c r="C139" s="304"/>
      <c r="D139" s="304"/>
      <c r="E139" s="362"/>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c r="BA139" s="363"/>
      <c r="BB139" s="363"/>
      <c r="BC139" s="363"/>
      <c r="BD139" s="363"/>
      <c r="BE139" s="363"/>
      <c r="BF139" s="363"/>
      <c r="BG139" s="363"/>
      <c r="BH139" s="363"/>
      <c r="BI139" s="363"/>
      <c r="BJ139" s="363"/>
      <c r="BK139" s="363"/>
      <c r="BL139" s="363"/>
      <c r="BM139" s="363"/>
      <c r="BN139" s="363"/>
      <c r="BO139" s="363"/>
      <c r="BP139" s="363"/>
      <c r="BQ139" s="363"/>
      <c r="BR139" s="363"/>
      <c r="BS139" s="363"/>
      <c r="BT139" s="363"/>
      <c r="BU139" s="363"/>
      <c r="BV139" s="363"/>
    </row>
    <row r="140" spans="2:74" x14ac:dyDescent="0.2">
      <c r="B140" s="86"/>
      <c r="C140" s="304"/>
      <c r="D140" s="304"/>
      <c r="E140" s="362"/>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row>
    <row r="141" spans="2:74" x14ac:dyDescent="0.2">
      <c r="B141" s="86"/>
      <c r="C141" s="86"/>
      <c r="D141" s="86"/>
      <c r="E141" s="362"/>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c r="BA141" s="363"/>
      <c r="BB141" s="363"/>
      <c r="BC141" s="363"/>
      <c r="BD141" s="363"/>
      <c r="BE141" s="363"/>
      <c r="BF141" s="363"/>
      <c r="BG141" s="363"/>
      <c r="BH141" s="363"/>
      <c r="BI141" s="363"/>
      <c r="BJ141" s="363"/>
      <c r="BK141" s="363"/>
      <c r="BL141" s="363"/>
      <c r="BM141" s="363"/>
      <c r="BN141" s="363"/>
      <c r="BO141" s="363"/>
      <c r="BP141" s="363"/>
      <c r="BQ141" s="363"/>
      <c r="BR141" s="363"/>
      <c r="BS141" s="363"/>
      <c r="BT141" s="363"/>
      <c r="BU141" s="363"/>
      <c r="BV141" s="363"/>
    </row>
    <row r="142" spans="2:74" x14ac:dyDescent="0.2">
      <c r="B142" s="86"/>
      <c r="C142" s="304"/>
      <c r="D142" s="304"/>
      <c r="E142" s="362"/>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c r="BA142" s="363"/>
      <c r="BB142" s="363"/>
      <c r="BC142" s="363"/>
      <c r="BD142" s="363"/>
      <c r="BE142" s="363"/>
      <c r="BF142" s="363"/>
      <c r="BG142" s="363"/>
      <c r="BH142" s="363"/>
      <c r="BI142" s="363"/>
      <c r="BJ142" s="363"/>
      <c r="BK142" s="363"/>
      <c r="BL142" s="363"/>
      <c r="BM142" s="363"/>
      <c r="BN142" s="363"/>
      <c r="BO142" s="363"/>
      <c r="BP142" s="363"/>
      <c r="BQ142" s="363"/>
      <c r="BR142" s="363"/>
      <c r="BS142" s="363"/>
      <c r="BT142" s="363"/>
      <c r="BU142" s="363"/>
      <c r="BV142" s="363"/>
    </row>
    <row r="143" spans="2:74" x14ac:dyDescent="0.2">
      <c r="B143" s="86"/>
      <c r="C143" s="304"/>
      <c r="D143" s="304"/>
      <c r="E143" s="362"/>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c r="BE143" s="363"/>
      <c r="BF143" s="363"/>
      <c r="BG143" s="363"/>
      <c r="BH143" s="363"/>
      <c r="BI143" s="363"/>
      <c r="BJ143" s="363"/>
      <c r="BK143" s="363"/>
      <c r="BL143" s="363"/>
      <c r="BM143" s="363"/>
      <c r="BN143" s="363"/>
      <c r="BO143" s="363"/>
      <c r="BP143" s="363"/>
      <c r="BQ143" s="363"/>
      <c r="BR143" s="363"/>
      <c r="BS143" s="363"/>
      <c r="BT143" s="363"/>
      <c r="BU143" s="363"/>
      <c r="BV143" s="363"/>
    </row>
    <row r="144" spans="2:74" x14ac:dyDescent="0.2">
      <c r="B144" s="86"/>
      <c r="C144" s="304"/>
      <c r="D144" s="304"/>
      <c r="E144" s="362"/>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63"/>
      <c r="AQ144" s="363"/>
      <c r="AR144" s="363"/>
      <c r="AS144" s="363"/>
      <c r="AT144" s="363"/>
      <c r="AU144" s="363"/>
      <c r="AV144" s="363"/>
      <c r="AW144" s="363"/>
      <c r="AX144" s="363"/>
      <c r="AY144" s="363"/>
      <c r="AZ144" s="363"/>
      <c r="BA144" s="363"/>
      <c r="BB144" s="363"/>
      <c r="BC144" s="363"/>
      <c r="BD144" s="363"/>
      <c r="BE144" s="363"/>
      <c r="BF144" s="363"/>
      <c r="BG144" s="363"/>
      <c r="BH144" s="363"/>
      <c r="BI144" s="363"/>
      <c r="BJ144" s="363"/>
      <c r="BK144" s="363"/>
      <c r="BL144" s="363"/>
      <c r="BM144" s="363"/>
      <c r="BN144" s="363"/>
      <c r="BO144" s="363"/>
      <c r="BP144" s="363"/>
      <c r="BQ144" s="363"/>
      <c r="BR144" s="363"/>
      <c r="BS144" s="363"/>
      <c r="BT144" s="363"/>
      <c r="BU144" s="363"/>
      <c r="BV144" s="363"/>
    </row>
    <row r="145" spans="2:74" x14ac:dyDescent="0.2">
      <c r="B145" s="86"/>
      <c r="C145" s="304"/>
      <c r="D145" s="304"/>
      <c r="E145" s="362"/>
      <c r="F145" s="36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3"/>
      <c r="BV145" s="363"/>
    </row>
    <row r="146" spans="2:74" x14ac:dyDescent="0.2">
      <c r="B146" s="86"/>
      <c r="C146" s="304"/>
      <c r="D146" s="304"/>
      <c r="E146" s="362"/>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3"/>
      <c r="AY146" s="363"/>
      <c r="AZ146" s="363"/>
      <c r="BA146" s="363"/>
      <c r="BB146" s="363"/>
      <c r="BC146" s="363"/>
      <c r="BD146" s="363"/>
      <c r="BE146" s="363"/>
      <c r="BF146" s="363"/>
      <c r="BG146" s="363"/>
      <c r="BH146" s="363"/>
      <c r="BI146" s="363"/>
      <c r="BJ146" s="363"/>
      <c r="BK146" s="363"/>
      <c r="BL146" s="363"/>
      <c r="BM146" s="363"/>
      <c r="BN146" s="363"/>
      <c r="BO146" s="363"/>
      <c r="BP146" s="363"/>
      <c r="BQ146" s="363"/>
      <c r="BR146" s="363"/>
      <c r="BS146" s="363"/>
      <c r="BT146" s="363"/>
      <c r="BU146" s="363"/>
      <c r="BV146" s="363"/>
    </row>
    <row r="147" spans="2:74" x14ac:dyDescent="0.2">
      <c r="B147" s="86"/>
      <c r="C147" s="304"/>
      <c r="D147" s="304"/>
      <c r="E147" s="362"/>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row>
    <row r="148" spans="2:74" x14ac:dyDescent="0.2">
      <c r="B148" s="86"/>
      <c r="C148" s="304"/>
      <c r="D148" s="304"/>
      <c r="E148" s="362"/>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row>
    <row r="149" spans="2:74" x14ac:dyDescent="0.2">
      <c r="B149" s="86"/>
      <c r="C149" s="304"/>
      <c r="D149" s="304"/>
      <c r="E149" s="362"/>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3"/>
      <c r="BV149" s="363"/>
    </row>
    <row r="150" spans="2:74" x14ac:dyDescent="0.2">
      <c r="B150" s="86"/>
      <c r="C150" s="304"/>
      <c r="D150" s="304"/>
      <c r="E150" s="362"/>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c r="BU150" s="363"/>
      <c r="BV150" s="363"/>
    </row>
    <row r="151" spans="2:74" x14ac:dyDescent="0.2">
      <c r="B151" s="86"/>
      <c r="C151" s="304"/>
      <c r="D151" s="304"/>
      <c r="E151" s="362"/>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3"/>
      <c r="BM151" s="363"/>
      <c r="BN151" s="363"/>
      <c r="BO151" s="363"/>
      <c r="BP151" s="363"/>
      <c r="BQ151" s="363"/>
      <c r="BR151" s="363"/>
      <c r="BS151" s="363"/>
      <c r="BT151" s="363"/>
      <c r="BU151" s="363"/>
      <c r="BV151" s="363"/>
    </row>
    <row r="152" spans="2:74" x14ac:dyDescent="0.2">
      <c r="B152" s="86"/>
      <c r="C152" s="304"/>
      <c r="D152" s="304"/>
      <c r="E152" s="362"/>
      <c r="F152" s="363"/>
      <c r="G152" s="363"/>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3"/>
      <c r="AZ152" s="363"/>
      <c r="BA152" s="363"/>
      <c r="BB152" s="363"/>
      <c r="BC152" s="363"/>
      <c r="BD152" s="363"/>
      <c r="BE152" s="363"/>
      <c r="BF152" s="363"/>
      <c r="BG152" s="363"/>
      <c r="BH152" s="363"/>
      <c r="BI152" s="363"/>
      <c r="BJ152" s="363"/>
      <c r="BK152" s="363"/>
      <c r="BL152" s="363"/>
      <c r="BM152" s="363"/>
      <c r="BN152" s="363"/>
      <c r="BO152" s="363"/>
      <c r="BP152" s="363"/>
      <c r="BQ152" s="363"/>
      <c r="BR152" s="363"/>
      <c r="BS152" s="363"/>
      <c r="BT152" s="363"/>
      <c r="BU152" s="363"/>
      <c r="BV152" s="363"/>
    </row>
    <row r="153" spans="2:74" x14ac:dyDescent="0.2">
      <c r="B153" s="86"/>
      <c r="C153" s="304"/>
      <c r="D153" s="304"/>
      <c r="E153" s="362"/>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363"/>
      <c r="BM153" s="363"/>
      <c r="BN153" s="363"/>
      <c r="BO153" s="363"/>
      <c r="BP153" s="363"/>
      <c r="BQ153" s="363"/>
      <c r="BR153" s="363"/>
      <c r="BS153" s="363"/>
      <c r="BT153" s="363"/>
      <c r="BU153" s="363"/>
      <c r="BV153" s="363"/>
    </row>
    <row r="154" spans="2:74" x14ac:dyDescent="0.2">
      <c r="B154" s="86"/>
      <c r="C154" s="86"/>
      <c r="D154" s="86"/>
      <c r="E154" s="362"/>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363"/>
      <c r="BM154" s="363"/>
      <c r="BN154" s="363"/>
      <c r="BO154" s="363"/>
      <c r="BP154" s="363"/>
      <c r="BQ154" s="363"/>
      <c r="BR154" s="363"/>
      <c r="BS154" s="363"/>
      <c r="BT154" s="363"/>
      <c r="BU154" s="363"/>
      <c r="BV154" s="363"/>
    </row>
    <row r="155" spans="2:74" x14ac:dyDescent="0.2">
      <c r="B155" s="86"/>
      <c r="C155" s="304"/>
      <c r="D155" s="304"/>
      <c r="E155" s="362"/>
      <c r="F155" s="363"/>
      <c r="G155" s="363"/>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c r="BJ155" s="363"/>
      <c r="BK155" s="363"/>
      <c r="BL155" s="363"/>
      <c r="BM155" s="363"/>
      <c r="BN155" s="363"/>
      <c r="BO155" s="363"/>
      <c r="BP155" s="363"/>
      <c r="BQ155" s="363"/>
      <c r="BR155" s="363"/>
      <c r="BS155" s="363"/>
      <c r="BT155" s="363"/>
      <c r="BU155" s="363"/>
      <c r="BV155" s="363"/>
    </row>
    <row r="156" spans="2:74" x14ac:dyDescent="0.2">
      <c r="B156" s="86"/>
      <c r="C156" s="304"/>
      <c r="D156" s="304"/>
      <c r="E156" s="362"/>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3"/>
      <c r="AY156" s="363"/>
      <c r="AZ156" s="363"/>
      <c r="BA156" s="363"/>
      <c r="BB156" s="363"/>
      <c r="BC156" s="363"/>
      <c r="BD156" s="363"/>
      <c r="BE156" s="363"/>
      <c r="BF156" s="363"/>
      <c r="BG156" s="363"/>
      <c r="BH156" s="363"/>
      <c r="BI156" s="363"/>
      <c r="BJ156" s="363"/>
      <c r="BK156" s="363"/>
      <c r="BL156" s="363"/>
      <c r="BM156" s="363"/>
      <c r="BN156" s="363"/>
      <c r="BO156" s="363"/>
      <c r="BP156" s="363"/>
      <c r="BQ156" s="363"/>
      <c r="BR156" s="363"/>
      <c r="BS156" s="363"/>
      <c r="BT156" s="363"/>
      <c r="BU156" s="363"/>
      <c r="BV156" s="363"/>
    </row>
    <row r="157" spans="2:74" x14ac:dyDescent="0.2">
      <c r="B157" s="280"/>
      <c r="D157" s="280"/>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row>
    <row r="158" spans="2:74" x14ac:dyDescent="0.2">
      <c r="B158" s="86"/>
      <c r="C158" s="304"/>
      <c r="D158" s="304"/>
      <c r="E158" s="362"/>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3"/>
      <c r="AY158" s="363"/>
      <c r="AZ158" s="363"/>
      <c r="BA158" s="363"/>
      <c r="BB158" s="363"/>
      <c r="BC158" s="363"/>
      <c r="BD158" s="363"/>
      <c r="BE158" s="363"/>
      <c r="BF158" s="363"/>
      <c r="BG158" s="363"/>
      <c r="BH158" s="363"/>
      <c r="BI158" s="363"/>
      <c r="BJ158" s="363"/>
      <c r="BK158" s="363"/>
      <c r="BL158" s="363"/>
      <c r="BM158" s="363"/>
      <c r="BN158" s="363"/>
      <c r="BO158" s="363"/>
      <c r="BP158" s="363"/>
      <c r="BQ158" s="363"/>
      <c r="BR158" s="363"/>
      <c r="BS158" s="363"/>
      <c r="BT158" s="363"/>
      <c r="BU158" s="363"/>
      <c r="BV158" s="363"/>
    </row>
    <row r="159" spans="2:74" x14ac:dyDescent="0.2">
      <c r="B159" s="86"/>
      <c r="C159" s="304"/>
      <c r="D159" s="304"/>
      <c r="E159" s="362"/>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c r="AV159" s="363"/>
      <c r="AW159" s="363"/>
      <c r="AX159" s="363"/>
      <c r="AY159" s="363"/>
      <c r="AZ159" s="363"/>
      <c r="BA159" s="363"/>
      <c r="BB159" s="363"/>
      <c r="BC159" s="363"/>
      <c r="BD159" s="363"/>
      <c r="BE159" s="363"/>
      <c r="BF159" s="363"/>
      <c r="BG159" s="363"/>
      <c r="BH159" s="363"/>
      <c r="BI159" s="363"/>
      <c r="BJ159" s="363"/>
      <c r="BK159" s="363"/>
      <c r="BL159" s="363"/>
      <c r="BM159" s="363"/>
      <c r="BN159" s="363"/>
      <c r="BO159" s="363"/>
      <c r="BP159" s="363"/>
      <c r="BQ159" s="363"/>
      <c r="BR159" s="363"/>
      <c r="BS159" s="363"/>
      <c r="BT159" s="363"/>
      <c r="BU159" s="363"/>
      <c r="BV159" s="363"/>
    </row>
    <row r="160" spans="2:74" x14ac:dyDescent="0.2">
      <c r="B160" s="86"/>
      <c r="C160" s="304"/>
      <c r="D160" s="304"/>
      <c r="E160" s="362"/>
      <c r="F160" s="363"/>
      <c r="G160" s="363"/>
      <c r="H160" s="363"/>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63"/>
      <c r="AQ160" s="363"/>
      <c r="AR160" s="363"/>
      <c r="AS160" s="363"/>
      <c r="AT160" s="363"/>
      <c r="AU160" s="363"/>
      <c r="AV160" s="363"/>
      <c r="AW160" s="363"/>
      <c r="AX160" s="363"/>
      <c r="AY160" s="363"/>
      <c r="AZ160" s="363"/>
      <c r="BA160" s="363"/>
      <c r="BB160" s="363"/>
      <c r="BC160" s="363"/>
      <c r="BD160" s="363"/>
      <c r="BE160" s="363"/>
      <c r="BF160" s="363"/>
      <c r="BG160" s="363"/>
      <c r="BH160" s="363"/>
      <c r="BI160" s="363"/>
      <c r="BJ160" s="363"/>
      <c r="BK160" s="363"/>
      <c r="BL160" s="363"/>
      <c r="BM160" s="363"/>
      <c r="BN160" s="363"/>
      <c r="BO160" s="363"/>
      <c r="BP160" s="363"/>
      <c r="BQ160" s="363"/>
      <c r="BR160" s="363"/>
      <c r="BS160" s="363"/>
      <c r="BT160" s="363"/>
      <c r="BU160" s="363"/>
      <c r="BV160" s="363"/>
    </row>
    <row r="161" spans="2:74" x14ac:dyDescent="0.2">
      <c r="B161" s="86"/>
      <c r="C161" s="304"/>
      <c r="D161" s="304"/>
      <c r="E161" s="362"/>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63"/>
      <c r="BM161" s="363"/>
      <c r="BN161" s="363"/>
      <c r="BO161" s="363"/>
      <c r="BP161" s="363"/>
      <c r="BQ161" s="363"/>
      <c r="BR161" s="363"/>
      <c r="BS161" s="363"/>
      <c r="BT161" s="363"/>
      <c r="BU161" s="363"/>
      <c r="BV161" s="363"/>
    </row>
    <row r="162" spans="2:74" x14ac:dyDescent="0.2">
      <c r="B162" s="86"/>
      <c r="C162" s="304"/>
      <c r="D162" s="304"/>
      <c r="E162" s="362"/>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363"/>
      <c r="AZ162" s="363"/>
      <c r="BA162" s="363"/>
      <c r="BB162" s="363"/>
      <c r="BC162" s="363"/>
      <c r="BD162" s="363"/>
      <c r="BE162" s="363"/>
      <c r="BF162" s="363"/>
      <c r="BG162" s="363"/>
      <c r="BH162" s="363"/>
      <c r="BI162" s="363"/>
      <c r="BJ162" s="363"/>
      <c r="BK162" s="363"/>
      <c r="BL162" s="363"/>
      <c r="BM162" s="363"/>
      <c r="BN162" s="363"/>
      <c r="BO162" s="363"/>
      <c r="BP162" s="363"/>
      <c r="BQ162" s="363"/>
      <c r="BR162" s="363"/>
      <c r="BS162" s="363"/>
      <c r="BT162" s="363"/>
      <c r="BU162" s="363"/>
      <c r="BV162" s="363"/>
    </row>
    <row r="163" spans="2:74" x14ac:dyDescent="0.2">
      <c r="B163" s="86"/>
      <c r="C163" s="304"/>
      <c r="D163" s="304"/>
      <c r="E163" s="362"/>
      <c r="F163" s="363"/>
      <c r="G163" s="363"/>
      <c r="H163" s="363"/>
      <c r="I163" s="363"/>
      <c r="J163" s="363"/>
      <c r="K163" s="363"/>
      <c r="L163" s="363"/>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c r="AV163" s="363"/>
      <c r="AW163" s="363"/>
      <c r="AX163" s="363"/>
      <c r="AY163" s="363"/>
      <c r="AZ163" s="363"/>
      <c r="BA163" s="363"/>
      <c r="BB163" s="363"/>
      <c r="BC163" s="363"/>
      <c r="BD163" s="363"/>
      <c r="BE163" s="363"/>
      <c r="BF163" s="363"/>
      <c r="BG163" s="363"/>
      <c r="BH163" s="363"/>
      <c r="BI163" s="363"/>
      <c r="BJ163" s="363"/>
      <c r="BK163" s="363"/>
      <c r="BL163" s="363"/>
      <c r="BM163" s="363"/>
      <c r="BN163" s="363"/>
      <c r="BO163" s="363"/>
      <c r="BP163" s="363"/>
      <c r="BQ163" s="363"/>
      <c r="BR163" s="363"/>
      <c r="BS163" s="363"/>
      <c r="BT163" s="363"/>
      <c r="BU163" s="363"/>
      <c r="BV163" s="363"/>
    </row>
    <row r="164" spans="2:74" x14ac:dyDescent="0.2">
      <c r="B164" s="86"/>
      <c r="C164" s="304"/>
      <c r="D164" s="304"/>
      <c r="E164" s="362"/>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c r="BE164" s="363"/>
      <c r="BF164" s="363"/>
      <c r="BG164" s="363"/>
      <c r="BH164" s="363"/>
      <c r="BI164" s="363"/>
      <c r="BJ164" s="363"/>
      <c r="BK164" s="363"/>
      <c r="BL164" s="363"/>
      <c r="BM164" s="363"/>
      <c r="BN164" s="363"/>
      <c r="BO164" s="363"/>
      <c r="BP164" s="363"/>
      <c r="BQ164" s="363"/>
      <c r="BR164" s="363"/>
      <c r="BS164" s="363"/>
      <c r="BT164" s="363"/>
      <c r="BU164" s="363"/>
      <c r="BV164" s="363"/>
    </row>
    <row r="165" spans="2:74" x14ac:dyDescent="0.2">
      <c r="B165" s="86"/>
      <c r="C165" s="304"/>
      <c r="D165" s="304"/>
      <c r="E165" s="362"/>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c r="AN165" s="363"/>
      <c r="AO165" s="363"/>
      <c r="AP165" s="363"/>
      <c r="AQ165" s="363"/>
      <c r="AR165" s="363"/>
      <c r="AS165" s="363"/>
      <c r="AT165" s="363"/>
      <c r="AU165" s="363"/>
      <c r="AV165" s="363"/>
      <c r="AW165" s="363"/>
      <c r="AX165" s="363"/>
      <c r="AY165" s="363"/>
      <c r="AZ165" s="363"/>
      <c r="BA165" s="363"/>
      <c r="BB165" s="363"/>
      <c r="BC165" s="363"/>
      <c r="BD165" s="363"/>
      <c r="BE165" s="363"/>
      <c r="BF165" s="363"/>
      <c r="BG165" s="363"/>
      <c r="BH165" s="363"/>
      <c r="BI165" s="363"/>
      <c r="BJ165" s="363"/>
      <c r="BK165" s="363"/>
      <c r="BL165" s="363"/>
      <c r="BM165" s="363"/>
      <c r="BN165" s="363"/>
      <c r="BO165" s="363"/>
      <c r="BP165" s="363"/>
      <c r="BQ165" s="363"/>
      <c r="BR165" s="363"/>
      <c r="BS165" s="363"/>
      <c r="BT165" s="363"/>
      <c r="BU165" s="363"/>
      <c r="BV165" s="363"/>
    </row>
    <row r="166" spans="2:74" x14ac:dyDescent="0.2">
      <c r="B166" s="86"/>
      <c r="C166" s="304"/>
      <c r="D166" s="304"/>
      <c r="E166" s="362"/>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3"/>
      <c r="AY166" s="363"/>
      <c r="AZ166" s="363"/>
      <c r="BA166" s="363"/>
      <c r="BB166" s="363"/>
      <c r="BC166" s="363"/>
      <c r="BD166" s="363"/>
      <c r="BE166" s="363"/>
      <c r="BF166" s="363"/>
      <c r="BG166" s="363"/>
      <c r="BH166" s="363"/>
      <c r="BI166" s="363"/>
      <c r="BJ166" s="363"/>
      <c r="BK166" s="363"/>
      <c r="BL166" s="363"/>
      <c r="BM166" s="363"/>
      <c r="BN166" s="363"/>
      <c r="BO166" s="363"/>
      <c r="BP166" s="363"/>
      <c r="BQ166" s="363"/>
      <c r="BR166" s="363"/>
      <c r="BS166" s="363"/>
      <c r="BT166" s="363"/>
      <c r="BU166" s="363"/>
      <c r="BV166" s="363"/>
    </row>
    <row r="167" spans="2:74" x14ac:dyDescent="0.2">
      <c r="B167" s="86"/>
      <c r="C167" s="304"/>
      <c r="D167" s="304"/>
      <c r="E167" s="362"/>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3"/>
      <c r="AT167" s="363"/>
      <c r="AU167" s="363"/>
      <c r="AV167" s="363"/>
      <c r="AW167" s="363"/>
      <c r="AX167" s="363"/>
      <c r="AY167" s="363"/>
      <c r="AZ167" s="363"/>
      <c r="BA167" s="363"/>
      <c r="BB167" s="363"/>
      <c r="BC167" s="363"/>
      <c r="BD167" s="363"/>
      <c r="BE167" s="363"/>
      <c r="BF167" s="363"/>
      <c r="BG167" s="363"/>
      <c r="BH167" s="363"/>
      <c r="BI167" s="363"/>
      <c r="BJ167" s="363"/>
      <c r="BK167" s="363"/>
      <c r="BL167" s="363"/>
      <c r="BM167" s="363"/>
      <c r="BN167" s="363"/>
      <c r="BO167" s="363"/>
      <c r="BP167" s="363"/>
      <c r="BQ167" s="363"/>
      <c r="BR167" s="363"/>
      <c r="BS167" s="363"/>
      <c r="BT167" s="363"/>
      <c r="BU167" s="363"/>
      <c r="BV167" s="363"/>
    </row>
    <row r="168" spans="2:74" x14ac:dyDescent="0.2">
      <c r="B168" s="86"/>
      <c r="C168" s="304"/>
      <c r="D168" s="304"/>
      <c r="E168" s="362"/>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c r="BH168" s="363"/>
      <c r="BI168" s="363"/>
      <c r="BJ168" s="363"/>
      <c r="BK168" s="363"/>
      <c r="BL168" s="363"/>
      <c r="BM168" s="363"/>
      <c r="BN168" s="363"/>
      <c r="BO168" s="363"/>
      <c r="BP168" s="363"/>
      <c r="BQ168" s="363"/>
      <c r="BR168" s="363"/>
      <c r="BS168" s="363"/>
      <c r="BT168" s="363"/>
      <c r="BU168" s="363"/>
      <c r="BV168" s="363"/>
    </row>
    <row r="169" spans="2:74" x14ac:dyDescent="0.2">
      <c r="B169" s="86"/>
      <c r="C169" s="304"/>
      <c r="D169" s="304"/>
      <c r="E169" s="362"/>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c r="AV169" s="363"/>
      <c r="AW169" s="363"/>
      <c r="AX169" s="363"/>
      <c r="AY169" s="363"/>
      <c r="AZ169" s="363"/>
      <c r="BA169" s="363"/>
      <c r="BB169" s="363"/>
      <c r="BC169" s="363"/>
      <c r="BD169" s="363"/>
      <c r="BE169" s="363"/>
      <c r="BF169" s="363"/>
      <c r="BG169" s="363"/>
      <c r="BH169" s="363"/>
      <c r="BI169" s="363"/>
      <c r="BJ169" s="363"/>
      <c r="BK169" s="363"/>
      <c r="BL169" s="363"/>
      <c r="BM169" s="363"/>
      <c r="BN169" s="363"/>
      <c r="BO169" s="363"/>
      <c r="BP169" s="363"/>
      <c r="BQ169" s="363"/>
      <c r="BR169" s="363"/>
      <c r="BS169" s="363"/>
      <c r="BT169" s="363"/>
      <c r="BU169" s="363"/>
      <c r="BV169" s="363"/>
    </row>
    <row r="170" spans="2:74" x14ac:dyDescent="0.2">
      <c r="B170" s="86"/>
      <c r="C170" s="304"/>
      <c r="D170" s="304"/>
      <c r="E170" s="362"/>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c r="BG170" s="363"/>
      <c r="BH170" s="363"/>
      <c r="BI170" s="363"/>
      <c r="BJ170" s="363"/>
      <c r="BK170" s="363"/>
      <c r="BL170" s="363"/>
      <c r="BM170" s="363"/>
      <c r="BN170" s="363"/>
      <c r="BO170" s="363"/>
      <c r="BP170" s="363"/>
      <c r="BQ170" s="363"/>
      <c r="BR170" s="363"/>
      <c r="BS170" s="363"/>
      <c r="BT170" s="363"/>
      <c r="BU170" s="363"/>
      <c r="BV170" s="363"/>
    </row>
    <row r="171" spans="2:74" x14ac:dyDescent="0.2">
      <c r="B171" s="86"/>
      <c r="C171" s="304"/>
      <c r="D171" s="304"/>
      <c r="E171" s="362"/>
      <c r="F171" s="363"/>
      <c r="G171" s="363"/>
      <c r="H171" s="363"/>
      <c r="I171" s="363"/>
      <c r="J171" s="363"/>
      <c r="K171" s="363"/>
      <c r="L171" s="363"/>
      <c r="M171" s="363"/>
      <c r="N171" s="363"/>
      <c r="O171" s="363"/>
      <c r="P171" s="363"/>
      <c r="Q171" s="363"/>
      <c r="R171" s="363"/>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c r="AN171" s="363"/>
      <c r="AO171" s="363"/>
      <c r="AP171" s="363"/>
      <c r="AQ171" s="363"/>
      <c r="AR171" s="363"/>
      <c r="AS171" s="363"/>
      <c r="AT171" s="363"/>
      <c r="AU171" s="363"/>
      <c r="AV171" s="363"/>
      <c r="AW171" s="363"/>
      <c r="AX171" s="363"/>
      <c r="AY171" s="363"/>
      <c r="AZ171" s="363"/>
      <c r="BA171" s="363"/>
      <c r="BB171" s="363"/>
      <c r="BC171" s="363"/>
      <c r="BD171" s="363"/>
      <c r="BE171" s="363"/>
      <c r="BF171" s="363"/>
      <c r="BG171" s="363"/>
      <c r="BH171" s="363"/>
      <c r="BI171" s="363"/>
      <c r="BJ171" s="363"/>
      <c r="BK171" s="363"/>
      <c r="BL171" s="363"/>
      <c r="BM171" s="363"/>
      <c r="BN171" s="363"/>
      <c r="BO171" s="363"/>
      <c r="BP171" s="363"/>
      <c r="BQ171" s="363"/>
      <c r="BR171" s="363"/>
      <c r="BS171" s="363"/>
      <c r="BT171" s="363"/>
      <c r="BU171" s="363"/>
      <c r="BV171" s="363"/>
    </row>
    <row r="172" spans="2:74" x14ac:dyDescent="0.2">
      <c r="B172" s="86"/>
      <c r="C172" s="304"/>
      <c r="D172" s="304"/>
      <c r="E172" s="362"/>
      <c r="F172" s="363"/>
      <c r="G172" s="363"/>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3"/>
      <c r="AT172" s="363"/>
      <c r="AU172" s="363"/>
      <c r="AV172" s="363"/>
      <c r="AW172" s="363"/>
      <c r="AX172" s="363"/>
      <c r="AY172" s="363"/>
      <c r="AZ172" s="363"/>
      <c r="BA172" s="363"/>
      <c r="BB172" s="363"/>
      <c r="BC172" s="363"/>
      <c r="BD172" s="363"/>
      <c r="BE172" s="363"/>
      <c r="BF172" s="363"/>
      <c r="BG172" s="363"/>
      <c r="BH172" s="363"/>
      <c r="BI172" s="363"/>
      <c r="BJ172" s="363"/>
      <c r="BK172" s="363"/>
      <c r="BL172" s="363"/>
      <c r="BM172" s="363"/>
      <c r="BN172" s="363"/>
      <c r="BO172" s="363"/>
      <c r="BP172" s="363"/>
      <c r="BQ172" s="363"/>
      <c r="BR172" s="363"/>
      <c r="BS172" s="363"/>
      <c r="BT172" s="363"/>
      <c r="BU172" s="363"/>
      <c r="BV172" s="363"/>
    </row>
    <row r="173" spans="2:74" x14ac:dyDescent="0.2">
      <c r="B173" s="86"/>
      <c r="C173" s="304"/>
      <c r="D173" s="304"/>
      <c r="E173" s="362"/>
      <c r="F173" s="363"/>
      <c r="G173" s="363"/>
      <c r="H173" s="363"/>
      <c r="I173" s="363"/>
      <c r="J173" s="363"/>
      <c r="K173" s="363"/>
      <c r="L173" s="363"/>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P173" s="363"/>
      <c r="BQ173" s="363"/>
      <c r="BR173" s="363"/>
      <c r="BS173" s="363"/>
      <c r="BT173" s="363"/>
      <c r="BU173" s="363"/>
      <c r="BV173" s="363"/>
    </row>
    <row r="174" spans="2:74" x14ac:dyDescent="0.2">
      <c r="B174" s="86"/>
      <c r="C174" s="304"/>
      <c r="D174" s="304"/>
      <c r="E174" s="362"/>
      <c r="F174" s="363"/>
      <c r="G174" s="363"/>
      <c r="H174" s="363"/>
      <c r="I174" s="363"/>
      <c r="J174" s="363"/>
      <c r="K174" s="363"/>
      <c r="L174" s="363"/>
      <c r="M174" s="363"/>
      <c r="N174" s="363"/>
      <c r="O174" s="363"/>
      <c r="P174" s="363"/>
      <c r="Q174" s="363"/>
      <c r="R174" s="363"/>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363"/>
      <c r="AY174" s="363"/>
      <c r="AZ174" s="363"/>
      <c r="BA174" s="363"/>
      <c r="BB174" s="363"/>
      <c r="BC174" s="363"/>
      <c r="BD174" s="363"/>
      <c r="BE174" s="363"/>
      <c r="BF174" s="363"/>
      <c r="BG174" s="363"/>
      <c r="BH174" s="363"/>
      <c r="BI174" s="363"/>
      <c r="BJ174" s="363"/>
      <c r="BK174" s="363"/>
      <c r="BL174" s="363"/>
      <c r="BM174" s="363"/>
      <c r="BN174" s="363"/>
      <c r="BO174" s="363"/>
      <c r="BP174" s="363"/>
      <c r="BQ174" s="363"/>
      <c r="BR174" s="363"/>
      <c r="BS174" s="363"/>
      <c r="BT174" s="363"/>
      <c r="BU174" s="363"/>
      <c r="BV174" s="363"/>
    </row>
    <row r="175" spans="2:74" x14ac:dyDescent="0.2">
      <c r="B175" s="86"/>
      <c r="C175" s="304"/>
      <c r="D175" s="304"/>
      <c r="E175" s="362"/>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363"/>
      <c r="AX175" s="363"/>
      <c r="AY175" s="363"/>
      <c r="AZ175" s="363"/>
      <c r="BA175" s="363"/>
      <c r="BB175" s="363"/>
      <c r="BC175" s="363"/>
      <c r="BD175" s="363"/>
      <c r="BE175" s="363"/>
      <c r="BF175" s="363"/>
      <c r="BG175" s="363"/>
      <c r="BH175" s="363"/>
      <c r="BI175" s="363"/>
      <c r="BJ175" s="363"/>
      <c r="BK175" s="363"/>
      <c r="BL175" s="363"/>
      <c r="BM175" s="363"/>
      <c r="BN175" s="363"/>
      <c r="BO175" s="363"/>
      <c r="BP175" s="363"/>
      <c r="BQ175" s="363"/>
      <c r="BR175" s="363"/>
      <c r="BS175" s="363"/>
      <c r="BT175" s="363"/>
      <c r="BU175" s="363"/>
      <c r="BV175" s="363"/>
    </row>
    <row r="176" spans="2:74" x14ac:dyDescent="0.2">
      <c r="B176" s="86"/>
      <c r="C176" s="304"/>
      <c r="D176" s="304"/>
      <c r="E176" s="362"/>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c r="BO176" s="363"/>
      <c r="BP176" s="363"/>
      <c r="BQ176" s="363"/>
      <c r="BR176" s="363"/>
      <c r="BS176" s="363"/>
      <c r="BT176" s="363"/>
      <c r="BU176" s="363"/>
      <c r="BV176" s="363"/>
    </row>
    <row r="177" spans="2:74" x14ac:dyDescent="0.2">
      <c r="B177" s="86"/>
      <c r="C177" s="86"/>
      <c r="D177" s="86"/>
      <c r="E177" s="362"/>
      <c r="F177" s="363"/>
      <c r="G177" s="363"/>
      <c r="H177" s="363"/>
      <c r="I177" s="363"/>
      <c r="J177" s="363"/>
      <c r="K177" s="363"/>
      <c r="L177" s="363"/>
      <c r="M177" s="363"/>
      <c r="N177" s="363"/>
      <c r="O177" s="363"/>
      <c r="P177" s="363"/>
      <c r="Q177" s="363"/>
      <c r="R177" s="363"/>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c r="AN177" s="363"/>
      <c r="AO177" s="363"/>
      <c r="AP177" s="363"/>
      <c r="AQ177" s="363"/>
      <c r="AR177" s="363"/>
      <c r="AS177" s="363"/>
      <c r="AT177" s="363"/>
      <c r="AU177" s="363"/>
      <c r="AV177" s="363"/>
      <c r="AW177" s="363"/>
      <c r="AX177" s="363"/>
      <c r="AY177" s="363"/>
      <c r="AZ177" s="363"/>
      <c r="BA177" s="363"/>
      <c r="BB177" s="363"/>
      <c r="BC177" s="363"/>
      <c r="BD177" s="363"/>
      <c r="BE177" s="363"/>
      <c r="BF177" s="363"/>
      <c r="BG177" s="363"/>
      <c r="BH177" s="363"/>
      <c r="BI177" s="363"/>
      <c r="BJ177" s="363"/>
      <c r="BK177" s="363"/>
      <c r="BL177" s="363"/>
      <c r="BM177" s="363"/>
      <c r="BN177" s="363"/>
      <c r="BO177" s="363"/>
      <c r="BP177" s="363"/>
      <c r="BQ177" s="363"/>
      <c r="BR177" s="363"/>
      <c r="BS177" s="363"/>
      <c r="BT177" s="363"/>
      <c r="BU177" s="363"/>
      <c r="BV177" s="363"/>
    </row>
    <row r="178" spans="2:74" x14ac:dyDescent="0.2">
      <c r="B178" s="86"/>
      <c r="C178" s="304"/>
      <c r="D178" s="304"/>
      <c r="E178" s="362"/>
      <c r="F178" s="363"/>
      <c r="G178" s="363"/>
      <c r="H178" s="363"/>
      <c r="I178" s="363"/>
      <c r="J178" s="363"/>
      <c r="K178" s="363"/>
      <c r="L178" s="363"/>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3"/>
      <c r="AY178" s="363"/>
      <c r="AZ178" s="363"/>
      <c r="BA178" s="363"/>
      <c r="BB178" s="363"/>
      <c r="BC178" s="363"/>
      <c r="BD178" s="363"/>
      <c r="BE178" s="363"/>
      <c r="BF178" s="363"/>
      <c r="BG178" s="363"/>
      <c r="BH178" s="363"/>
      <c r="BI178" s="363"/>
      <c r="BJ178" s="363"/>
      <c r="BK178" s="363"/>
      <c r="BL178" s="363"/>
      <c r="BM178" s="363"/>
      <c r="BN178" s="363"/>
      <c r="BO178" s="363"/>
      <c r="BP178" s="363"/>
      <c r="BQ178" s="363"/>
      <c r="BR178" s="363"/>
      <c r="BS178" s="363"/>
      <c r="BT178" s="363"/>
      <c r="BU178" s="363"/>
      <c r="BV178" s="363"/>
    </row>
    <row r="179" spans="2:74" x14ac:dyDescent="0.2">
      <c r="B179" s="314"/>
      <c r="C179" s="304"/>
      <c r="D179" s="304"/>
      <c r="E179" s="362"/>
      <c r="F179" s="363"/>
      <c r="G179" s="363"/>
      <c r="H179" s="363"/>
      <c r="I179" s="363"/>
      <c r="J179" s="363"/>
      <c r="K179" s="363"/>
      <c r="L179" s="363"/>
      <c r="M179" s="363"/>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363"/>
      <c r="AN179" s="363"/>
      <c r="AO179" s="363"/>
      <c r="AP179" s="363"/>
      <c r="AQ179" s="363"/>
      <c r="AR179" s="363"/>
      <c r="AS179" s="363"/>
      <c r="AT179" s="363"/>
      <c r="AU179" s="363"/>
      <c r="AV179" s="363"/>
      <c r="AW179" s="363"/>
      <c r="AX179" s="363"/>
      <c r="AY179" s="363"/>
      <c r="AZ179" s="363"/>
      <c r="BA179" s="363"/>
      <c r="BB179" s="363"/>
      <c r="BC179" s="363"/>
      <c r="BD179" s="363"/>
      <c r="BE179" s="363"/>
      <c r="BF179" s="363"/>
      <c r="BG179" s="363"/>
      <c r="BH179" s="363"/>
      <c r="BI179" s="363"/>
      <c r="BJ179" s="363"/>
      <c r="BK179" s="363"/>
      <c r="BL179" s="363"/>
      <c r="BM179" s="363"/>
      <c r="BN179" s="363"/>
      <c r="BO179" s="363"/>
      <c r="BP179" s="363"/>
      <c r="BQ179" s="363"/>
      <c r="BR179" s="363"/>
      <c r="BS179" s="363"/>
      <c r="BT179" s="363"/>
      <c r="BU179" s="363"/>
      <c r="BV179" s="363"/>
    </row>
    <row r="180" spans="2:74" x14ac:dyDescent="0.2">
      <c r="B180" s="86"/>
      <c r="C180" s="304"/>
      <c r="D180" s="304"/>
      <c r="E180" s="362"/>
      <c r="F180" s="363"/>
      <c r="G180" s="363"/>
      <c r="H180" s="363"/>
      <c r="I180" s="363"/>
      <c r="J180" s="363"/>
      <c r="K180" s="363"/>
      <c r="L180" s="363"/>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3"/>
      <c r="AY180" s="363"/>
      <c r="AZ180" s="363"/>
      <c r="BA180" s="363"/>
      <c r="BB180" s="363"/>
      <c r="BC180" s="363"/>
      <c r="BD180" s="363"/>
      <c r="BE180" s="363"/>
      <c r="BF180" s="363"/>
      <c r="BG180" s="363"/>
      <c r="BH180" s="363"/>
      <c r="BI180" s="363"/>
      <c r="BJ180" s="363"/>
      <c r="BK180" s="363"/>
      <c r="BL180" s="363"/>
      <c r="BM180" s="363"/>
      <c r="BN180" s="363"/>
      <c r="BO180" s="363"/>
      <c r="BP180" s="363"/>
      <c r="BQ180" s="363"/>
      <c r="BR180" s="363"/>
      <c r="BS180" s="363"/>
      <c r="BT180" s="363"/>
      <c r="BU180" s="363"/>
      <c r="BV180" s="363"/>
    </row>
    <row r="181" spans="2:74" x14ac:dyDescent="0.2">
      <c r="B181" s="86"/>
      <c r="C181" s="304"/>
      <c r="D181" s="304"/>
      <c r="E181" s="362"/>
      <c r="F181" s="363"/>
      <c r="G181" s="363"/>
      <c r="H181" s="363"/>
      <c r="I181" s="363"/>
      <c r="J181" s="363"/>
      <c r="K181" s="363"/>
      <c r="L181" s="363"/>
      <c r="M181" s="363"/>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3"/>
      <c r="AY181" s="363"/>
      <c r="AZ181" s="363"/>
      <c r="BA181" s="363"/>
      <c r="BB181" s="363"/>
      <c r="BC181" s="363"/>
      <c r="BD181" s="363"/>
      <c r="BE181" s="363"/>
      <c r="BF181" s="363"/>
      <c r="BG181" s="363"/>
      <c r="BH181" s="363"/>
      <c r="BI181" s="363"/>
      <c r="BJ181" s="363"/>
      <c r="BK181" s="363"/>
      <c r="BL181" s="363"/>
      <c r="BM181" s="363"/>
      <c r="BN181" s="363"/>
      <c r="BO181" s="363"/>
      <c r="BP181" s="363"/>
      <c r="BQ181" s="363"/>
      <c r="BR181" s="363"/>
      <c r="BS181" s="363"/>
      <c r="BT181" s="363"/>
      <c r="BU181" s="363"/>
      <c r="BV181" s="363"/>
    </row>
    <row r="182" spans="2:74" x14ac:dyDescent="0.2">
      <c r="B182" s="86"/>
      <c r="C182" s="304"/>
      <c r="D182" s="304"/>
      <c r="E182" s="362"/>
      <c r="F182" s="363"/>
      <c r="G182" s="363"/>
      <c r="H182" s="363"/>
      <c r="I182" s="363"/>
      <c r="J182" s="363"/>
      <c r="K182" s="363"/>
      <c r="L182" s="363"/>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3"/>
      <c r="AY182" s="363"/>
      <c r="AZ182" s="363"/>
      <c r="BA182" s="363"/>
      <c r="BB182" s="363"/>
      <c r="BC182" s="363"/>
      <c r="BD182" s="363"/>
      <c r="BE182" s="363"/>
      <c r="BF182" s="363"/>
      <c r="BG182" s="363"/>
      <c r="BH182" s="363"/>
      <c r="BI182" s="363"/>
      <c r="BJ182" s="363"/>
      <c r="BK182" s="363"/>
      <c r="BL182" s="363"/>
      <c r="BM182" s="363"/>
      <c r="BN182" s="363"/>
      <c r="BO182" s="363"/>
      <c r="BP182" s="363"/>
      <c r="BQ182" s="363"/>
      <c r="BR182" s="363"/>
      <c r="BS182" s="363"/>
      <c r="BT182" s="363"/>
      <c r="BU182" s="363"/>
      <c r="BV182" s="363"/>
    </row>
    <row r="183" spans="2:74" x14ac:dyDescent="0.2">
      <c r="B183" s="86"/>
      <c r="C183" s="304"/>
      <c r="D183" s="304"/>
      <c r="E183" s="362"/>
      <c r="F183" s="363"/>
      <c r="G183" s="363"/>
      <c r="H183" s="363"/>
      <c r="I183" s="363"/>
      <c r="J183" s="363"/>
      <c r="K183" s="363"/>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3"/>
      <c r="AY183" s="363"/>
      <c r="AZ183" s="363"/>
      <c r="BA183" s="363"/>
      <c r="BB183" s="363"/>
      <c r="BC183" s="363"/>
      <c r="BD183" s="363"/>
      <c r="BE183" s="363"/>
      <c r="BF183" s="363"/>
      <c r="BG183" s="363"/>
      <c r="BH183" s="363"/>
      <c r="BI183" s="363"/>
      <c r="BJ183" s="363"/>
      <c r="BK183" s="363"/>
      <c r="BL183" s="363"/>
      <c r="BM183" s="363"/>
      <c r="BN183" s="363"/>
      <c r="BO183" s="363"/>
      <c r="BP183" s="363"/>
      <c r="BQ183" s="363"/>
      <c r="BR183" s="363"/>
      <c r="BS183" s="363"/>
      <c r="BT183" s="363"/>
      <c r="BU183" s="363"/>
      <c r="BV183" s="363"/>
    </row>
    <row r="184" spans="2:74" x14ac:dyDescent="0.2">
      <c r="B184" s="86"/>
      <c r="C184" s="304"/>
      <c r="D184" s="304"/>
      <c r="E184" s="362"/>
      <c r="F184" s="363"/>
      <c r="G184" s="363"/>
      <c r="H184" s="363"/>
      <c r="I184" s="363"/>
      <c r="J184" s="363"/>
      <c r="K184" s="363"/>
      <c r="L184" s="363"/>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63"/>
      <c r="AQ184" s="363"/>
      <c r="AR184" s="363"/>
      <c r="AS184" s="363"/>
      <c r="AT184" s="363"/>
      <c r="AU184" s="363"/>
      <c r="AV184" s="363"/>
      <c r="AW184" s="363"/>
      <c r="AX184" s="363"/>
      <c r="AY184" s="363"/>
      <c r="AZ184" s="363"/>
      <c r="BA184" s="363"/>
      <c r="BB184" s="363"/>
      <c r="BC184" s="363"/>
      <c r="BD184" s="363"/>
      <c r="BE184" s="363"/>
      <c r="BF184" s="363"/>
      <c r="BG184" s="363"/>
      <c r="BH184" s="363"/>
      <c r="BI184" s="363"/>
      <c r="BJ184" s="363"/>
      <c r="BK184" s="363"/>
      <c r="BL184" s="363"/>
      <c r="BM184" s="363"/>
      <c r="BN184" s="363"/>
      <c r="BO184" s="363"/>
      <c r="BP184" s="363"/>
      <c r="BQ184" s="363"/>
      <c r="BR184" s="363"/>
      <c r="BS184" s="363"/>
      <c r="BT184" s="363"/>
      <c r="BU184" s="363"/>
      <c r="BV184" s="363"/>
    </row>
    <row r="185" spans="2:74" x14ac:dyDescent="0.2">
      <c r="B185" s="86"/>
      <c r="C185" s="304"/>
      <c r="D185" s="304"/>
      <c r="E185" s="362"/>
      <c r="F185" s="363"/>
      <c r="G185" s="363"/>
      <c r="H185" s="363"/>
      <c r="I185" s="363"/>
      <c r="J185" s="363"/>
      <c r="K185" s="363"/>
      <c r="L185" s="363"/>
      <c r="M185" s="363"/>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c r="AJ185" s="363"/>
      <c r="AK185" s="363"/>
      <c r="AL185" s="363"/>
      <c r="AM185" s="363"/>
      <c r="AN185" s="363"/>
      <c r="AO185" s="363"/>
      <c r="AP185" s="363"/>
      <c r="AQ185" s="363"/>
      <c r="AR185" s="363"/>
      <c r="AS185" s="363"/>
      <c r="AT185" s="363"/>
      <c r="AU185" s="363"/>
      <c r="AV185" s="363"/>
      <c r="AW185" s="363"/>
      <c r="AX185" s="363"/>
      <c r="AY185" s="363"/>
      <c r="AZ185" s="363"/>
      <c r="BA185" s="363"/>
      <c r="BB185" s="363"/>
      <c r="BC185" s="363"/>
      <c r="BD185" s="363"/>
      <c r="BE185" s="363"/>
      <c r="BF185" s="363"/>
      <c r="BG185" s="363"/>
      <c r="BH185" s="363"/>
      <c r="BI185" s="363"/>
      <c r="BJ185" s="363"/>
      <c r="BK185" s="363"/>
      <c r="BL185" s="363"/>
      <c r="BM185" s="363"/>
      <c r="BN185" s="363"/>
      <c r="BO185" s="363"/>
      <c r="BP185" s="363"/>
      <c r="BQ185" s="363"/>
      <c r="BR185" s="363"/>
      <c r="BS185" s="363"/>
      <c r="BT185" s="363"/>
      <c r="BU185" s="363"/>
      <c r="BV185" s="363"/>
    </row>
    <row r="186" spans="2:74" x14ac:dyDescent="0.2">
      <c r="B186" s="86"/>
      <c r="C186" s="304"/>
      <c r="D186" s="304"/>
      <c r="E186" s="362"/>
      <c r="F186" s="363"/>
      <c r="G186" s="363"/>
      <c r="H186" s="363"/>
      <c r="I186" s="363"/>
      <c r="J186" s="363"/>
      <c r="K186" s="363"/>
      <c r="L186" s="363"/>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63"/>
      <c r="AQ186" s="363"/>
      <c r="AR186" s="363"/>
      <c r="AS186" s="363"/>
      <c r="AT186" s="363"/>
      <c r="AU186" s="363"/>
      <c r="AV186" s="363"/>
      <c r="AW186" s="363"/>
      <c r="AX186" s="363"/>
      <c r="AY186" s="363"/>
      <c r="AZ186" s="363"/>
      <c r="BA186" s="363"/>
      <c r="BB186" s="363"/>
      <c r="BC186" s="363"/>
      <c r="BD186" s="363"/>
      <c r="BE186" s="363"/>
      <c r="BF186" s="363"/>
      <c r="BG186" s="363"/>
      <c r="BH186" s="363"/>
      <c r="BI186" s="363"/>
      <c r="BJ186" s="363"/>
      <c r="BK186" s="363"/>
      <c r="BL186" s="363"/>
      <c r="BM186" s="363"/>
      <c r="BN186" s="363"/>
      <c r="BO186" s="363"/>
      <c r="BP186" s="363"/>
      <c r="BQ186" s="363"/>
      <c r="BR186" s="363"/>
      <c r="BS186" s="363"/>
      <c r="BT186" s="363"/>
      <c r="BU186" s="363"/>
      <c r="BV186" s="363"/>
    </row>
    <row r="187" spans="2:74" x14ac:dyDescent="0.2">
      <c r="B187" s="86"/>
      <c r="C187" s="304"/>
      <c r="D187" s="304"/>
      <c r="E187" s="362"/>
      <c r="F187" s="363"/>
      <c r="G187" s="363"/>
      <c r="H187" s="363"/>
      <c r="I187" s="363"/>
      <c r="J187" s="363"/>
      <c r="K187" s="363"/>
      <c r="L187" s="363"/>
      <c r="M187" s="363"/>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363"/>
      <c r="AY187" s="363"/>
      <c r="AZ187" s="363"/>
      <c r="BA187" s="363"/>
      <c r="BB187" s="363"/>
      <c r="BC187" s="363"/>
      <c r="BD187" s="363"/>
      <c r="BE187" s="363"/>
      <c r="BF187" s="363"/>
      <c r="BG187" s="363"/>
      <c r="BH187" s="363"/>
      <c r="BI187" s="363"/>
      <c r="BJ187" s="363"/>
      <c r="BK187" s="363"/>
      <c r="BL187" s="363"/>
      <c r="BM187" s="363"/>
      <c r="BN187" s="363"/>
      <c r="BO187" s="363"/>
      <c r="BP187" s="363"/>
      <c r="BQ187" s="363"/>
      <c r="BR187" s="363"/>
      <c r="BS187" s="363"/>
      <c r="BT187" s="363"/>
      <c r="BU187" s="363"/>
      <c r="BV187" s="363"/>
    </row>
    <row r="188" spans="2:74" x14ac:dyDescent="0.2">
      <c r="B188" s="86"/>
      <c r="C188" s="304"/>
      <c r="D188" s="304"/>
      <c r="E188" s="362"/>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c r="AV188" s="363"/>
      <c r="AW188" s="363"/>
      <c r="AX188" s="363"/>
      <c r="AY188" s="363"/>
      <c r="AZ188" s="363"/>
      <c r="BA188" s="363"/>
      <c r="BB188" s="363"/>
      <c r="BC188" s="363"/>
      <c r="BD188" s="363"/>
      <c r="BE188" s="363"/>
      <c r="BF188" s="363"/>
      <c r="BG188" s="363"/>
      <c r="BH188" s="363"/>
      <c r="BI188" s="363"/>
      <c r="BJ188" s="363"/>
      <c r="BK188" s="363"/>
      <c r="BL188" s="363"/>
      <c r="BM188" s="363"/>
      <c r="BN188" s="363"/>
      <c r="BO188" s="363"/>
      <c r="BP188" s="363"/>
      <c r="BQ188" s="363"/>
      <c r="BR188" s="363"/>
      <c r="BS188" s="363"/>
      <c r="BT188" s="363"/>
      <c r="BU188" s="363"/>
      <c r="BV188" s="363"/>
    </row>
    <row r="189" spans="2:74" x14ac:dyDescent="0.2">
      <c r="B189" s="86"/>
      <c r="C189" s="86"/>
      <c r="D189" s="86"/>
      <c r="E189" s="362"/>
      <c r="F189" s="363"/>
      <c r="G189" s="363"/>
      <c r="H189" s="363"/>
      <c r="I189" s="363"/>
      <c r="J189" s="363"/>
      <c r="K189" s="363"/>
      <c r="L189" s="363"/>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363"/>
      <c r="AY189" s="363"/>
      <c r="AZ189" s="363"/>
      <c r="BA189" s="363"/>
      <c r="BB189" s="363"/>
      <c r="BC189" s="363"/>
      <c r="BD189" s="363"/>
      <c r="BE189" s="363"/>
      <c r="BF189" s="363"/>
      <c r="BG189" s="363"/>
      <c r="BH189" s="363"/>
      <c r="BI189" s="363"/>
      <c r="BJ189" s="363"/>
      <c r="BK189" s="363"/>
      <c r="BL189" s="363"/>
      <c r="BM189" s="363"/>
      <c r="BN189" s="363"/>
      <c r="BO189" s="363"/>
      <c r="BP189" s="363"/>
      <c r="BQ189" s="363"/>
      <c r="BR189" s="363"/>
      <c r="BS189" s="363"/>
      <c r="BT189" s="363"/>
      <c r="BU189" s="363"/>
      <c r="BV189" s="363"/>
    </row>
    <row r="190" spans="2:74" x14ac:dyDescent="0.2">
      <c r="B190" s="86"/>
      <c r="C190" s="304"/>
      <c r="D190" s="304"/>
      <c r="E190" s="362"/>
      <c r="F190" s="363"/>
      <c r="G190" s="363"/>
      <c r="H190" s="363"/>
      <c r="I190" s="363"/>
      <c r="J190" s="363"/>
      <c r="K190" s="363"/>
      <c r="L190" s="363"/>
      <c r="M190" s="363"/>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L190" s="363"/>
      <c r="BM190" s="363"/>
      <c r="BN190" s="363"/>
      <c r="BO190" s="363"/>
      <c r="BP190" s="363"/>
      <c r="BQ190" s="363"/>
      <c r="BR190" s="363"/>
      <c r="BS190" s="363"/>
      <c r="BT190" s="363"/>
      <c r="BU190" s="363"/>
      <c r="BV190" s="363"/>
    </row>
    <row r="191" spans="2:74" x14ac:dyDescent="0.2">
      <c r="B191" s="86"/>
      <c r="C191" s="304"/>
      <c r="D191" s="304"/>
      <c r="E191" s="362"/>
      <c r="F191" s="363"/>
      <c r="G191" s="363"/>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L191" s="363"/>
      <c r="BM191" s="363"/>
      <c r="BN191" s="363"/>
      <c r="BO191" s="363"/>
      <c r="BP191" s="363"/>
      <c r="BQ191" s="363"/>
      <c r="BR191" s="363"/>
      <c r="BS191" s="363"/>
      <c r="BT191" s="363"/>
      <c r="BU191" s="363"/>
      <c r="BV191" s="363"/>
    </row>
    <row r="192" spans="2:74" x14ac:dyDescent="0.2">
      <c r="B192" s="86"/>
      <c r="C192" s="304"/>
      <c r="D192" s="304"/>
      <c r="E192" s="362"/>
      <c r="F192" s="363"/>
      <c r="G192" s="363"/>
      <c r="H192" s="363"/>
      <c r="I192" s="363"/>
      <c r="J192" s="363"/>
      <c r="K192" s="363"/>
      <c r="L192" s="363"/>
      <c r="M192" s="363"/>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c r="BD192" s="363"/>
      <c r="BE192" s="363"/>
      <c r="BF192" s="363"/>
      <c r="BG192" s="363"/>
      <c r="BH192" s="363"/>
      <c r="BI192" s="363"/>
      <c r="BJ192" s="363"/>
      <c r="BK192" s="363"/>
      <c r="BL192" s="363"/>
      <c r="BM192" s="363"/>
      <c r="BN192" s="363"/>
      <c r="BO192" s="363"/>
      <c r="BP192" s="363"/>
      <c r="BQ192" s="363"/>
      <c r="BR192" s="363"/>
      <c r="BS192" s="363"/>
      <c r="BT192" s="363"/>
      <c r="BU192" s="363"/>
      <c r="BV192" s="363"/>
    </row>
    <row r="193" spans="2:74" x14ac:dyDescent="0.2">
      <c r="B193" s="86"/>
      <c r="C193" s="304"/>
      <c r="D193" s="304"/>
      <c r="E193" s="362"/>
      <c r="F193" s="363"/>
      <c r="G193" s="363"/>
      <c r="H193" s="363"/>
      <c r="I193" s="363"/>
      <c r="J193" s="363"/>
      <c r="K193" s="363"/>
      <c r="L193" s="363"/>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L193" s="363"/>
      <c r="BM193" s="363"/>
      <c r="BN193" s="363"/>
      <c r="BO193" s="363"/>
      <c r="BP193" s="363"/>
      <c r="BQ193" s="363"/>
      <c r="BR193" s="363"/>
      <c r="BS193" s="363"/>
      <c r="BT193" s="363"/>
      <c r="BU193" s="363"/>
      <c r="BV193" s="363"/>
    </row>
    <row r="194" spans="2:74" x14ac:dyDescent="0.2">
      <c r="B194" s="86"/>
      <c r="C194" s="304"/>
      <c r="D194" s="304"/>
      <c r="E194" s="362"/>
      <c r="F194" s="363"/>
      <c r="G194" s="363"/>
      <c r="H194" s="363"/>
      <c r="I194" s="363"/>
      <c r="J194" s="363"/>
      <c r="K194" s="363"/>
      <c r="L194" s="363"/>
      <c r="M194" s="363"/>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c r="AN194" s="363"/>
      <c r="AO194" s="363"/>
      <c r="AP194" s="363"/>
      <c r="AQ194" s="363"/>
      <c r="AR194" s="363"/>
      <c r="AS194" s="363"/>
      <c r="AT194" s="363"/>
      <c r="AU194" s="363"/>
      <c r="AV194" s="363"/>
      <c r="AW194" s="363"/>
      <c r="AX194" s="363"/>
      <c r="AY194" s="363"/>
      <c r="AZ194" s="363"/>
      <c r="BA194" s="363"/>
      <c r="BB194" s="363"/>
      <c r="BC194" s="363"/>
      <c r="BD194" s="363"/>
      <c r="BE194" s="363"/>
      <c r="BF194" s="363"/>
      <c r="BG194" s="363"/>
      <c r="BH194" s="363"/>
      <c r="BI194" s="363"/>
      <c r="BJ194" s="363"/>
      <c r="BK194" s="363"/>
      <c r="BL194" s="363"/>
      <c r="BM194" s="363"/>
      <c r="BN194" s="363"/>
      <c r="BO194" s="363"/>
      <c r="BP194" s="363"/>
      <c r="BQ194" s="363"/>
      <c r="BR194" s="363"/>
      <c r="BS194" s="363"/>
      <c r="BT194" s="363"/>
      <c r="BU194" s="363"/>
      <c r="BV194" s="363"/>
    </row>
    <row r="195" spans="2:74" x14ac:dyDescent="0.2">
      <c r="B195" s="86"/>
      <c r="C195" s="304"/>
      <c r="D195" s="304"/>
      <c r="E195" s="362"/>
      <c r="F195" s="363"/>
      <c r="G195" s="363"/>
      <c r="H195" s="363"/>
      <c r="I195" s="363"/>
      <c r="J195" s="363"/>
      <c r="K195" s="363"/>
      <c r="L195" s="363"/>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3"/>
      <c r="BU195" s="363"/>
      <c r="BV195" s="363"/>
    </row>
    <row r="196" spans="2:74" x14ac:dyDescent="0.2">
      <c r="B196" s="86"/>
      <c r="C196" s="304"/>
      <c r="D196" s="304"/>
      <c r="E196" s="362"/>
      <c r="F196" s="363"/>
      <c r="G196" s="363"/>
      <c r="H196" s="363"/>
      <c r="I196" s="363"/>
      <c r="J196" s="363"/>
      <c r="K196" s="363"/>
      <c r="L196" s="363"/>
      <c r="M196" s="363"/>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L196" s="363"/>
      <c r="BM196" s="363"/>
      <c r="BN196" s="363"/>
      <c r="BO196" s="363"/>
      <c r="BP196" s="363"/>
      <c r="BQ196" s="363"/>
      <c r="BR196" s="363"/>
      <c r="BS196" s="363"/>
      <c r="BT196" s="363"/>
      <c r="BU196" s="363"/>
      <c r="BV196" s="363"/>
    </row>
    <row r="197" spans="2:74" x14ac:dyDescent="0.2">
      <c r="B197" s="86"/>
      <c r="C197" s="304"/>
      <c r="D197" s="304"/>
      <c r="E197" s="362"/>
      <c r="F197" s="363"/>
      <c r="G197" s="363"/>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L197" s="363"/>
      <c r="BM197" s="363"/>
      <c r="BN197" s="363"/>
      <c r="BO197" s="363"/>
      <c r="BP197" s="363"/>
      <c r="BQ197" s="363"/>
      <c r="BR197" s="363"/>
      <c r="BS197" s="363"/>
      <c r="BT197" s="363"/>
      <c r="BU197" s="363"/>
      <c r="BV197" s="363"/>
    </row>
    <row r="198" spans="2:74" x14ac:dyDescent="0.2">
      <c r="B198" s="86"/>
      <c r="C198" s="304"/>
      <c r="D198" s="304"/>
      <c r="E198" s="362"/>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L198" s="363"/>
      <c r="BM198" s="363"/>
      <c r="BN198" s="363"/>
      <c r="BO198" s="363"/>
      <c r="BP198" s="363"/>
      <c r="BQ198" s="363"/>
      <c r="BR198" s="363"/>
      <c r="BS198" s="363"/>
      <c r="BT198" s="363"/>
      <c r="BU198" s="363"/>
      <c r="BV198" s="363"/>
    </row>
    <row r="199" spans="2:74" x14ac:dyDescent="0.2">
      <c r="B199" s="86"/>
      <c r="C199" s="304"/>
      <c r="D199" s="304"/>
      <c r="E199" s="362"/>
      <c r="F199" s="363"/>
      <c r="G199" s="363"/>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3"/>
      <c r="AY199" s="363"/>
      <c r="AZ199" s="363"/>
      <c r="BA199" s="363"/>
      <c r="BB199" s="363"/>
      <c r="BC199" s="363"/>
      <c r="BD199" s="363"/>
      <c r="BE199" s="363"/>
      <c r="BF199" s="363"/>
      <c r="BG199" s="363"/>
      <c r="BH199" s="363"/>
      <c r="BI199" s="363"/>
      <c r="BJ199" s="363"/>
      <c r="BK199" s="363"/>
      <c r="BL199" s="363"/>
      <c r="BM199" s="363"/>
      <c r="BN199" s="363"/>
      <c r="BO199" s="363"/>
      <c r="BP199" s="363"/>
      <c r="BQ199" s="363"/>
      <c r="BR199" s="363"/>
      <c r="BS199" s="363"/>
      <c r="BT199" s="363"/>
      <c r="BU199" s="363"/>
      <c r="BV199" s="363"/>
    </row>
    <row r="200" spans="2:74" x14ac:dyDescent="0.2">
      <c r="B200" s="86"/>
      <c r="C200" s="304"/>
      <c r="D200" s="304"/>
      <c r="E200" s="362"/>
      <c r="F200" s="363"/>
      <c r="G200" s="363"/>
      <c r="H200" s="363"/>
      <c r="I200" s="363"/>
      <c r="J200" s="363"/>
      <c r="K200" s="363"/>
      <c r="L200" s="363"/>
      <c r="M200" s="363"/>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363"/>
      <c r="AY200" s="363"/>
      <c r="AZ200" s="363"/>
      <c r="BA200" s="363"/>
      <c r="BB200" s="363"/>
      <c r="BC200" s="363"/>
      <c r="BD200" s="363"/>
      <c r="BE200" s="363"/>
      <c r="BF200" s="363"/>
      <c r="BG200" s="363"/>
      <c r="BH200" s="363"/>
      <c r="BI200" s="363"/>
      <c r="BJ200" s="363"/>
      <c r="BK200" s="363"/>
      <c r="BL200" s="363"/>
      <c r="BM200" s="363"/>
      <c r="BN200" s="363"/>
      <c r="BO200" s="363"/>
      <c r="BP200" s="363"/>
      <c r="BQ200" s="363"/>
      <c r="BR200" s="363"/>
      <c r="BS200" s="363"/>
      <c r="BT200" s="363"/>
      <c r="BU200" s="363"/>
      <c r="BV200" s="363"/>
    </row>
    <row r="201" spans="2:74" x14ac:dyDescent="0.2">
      <c r="B201" s="86"/>
      <c r="C201" s="304"/>
      <c r="D201" s="304"/>
      <c r="E201" s="362"/>
      <c r="F201" s="363"/>
      <c r="G201" s="363"/>
      <c r="H201" s="363"/>
      <c r="I201" s="363"/>
      <c r="J201" s="363"/>
      <c r="K201" s="363"/>
      <c r="L201" s="363"/>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c r="BD201" s="363"/>
      <c r="BE201" s="363"/>
      <c r="BF201" s="363"/>
      <c r="BG201" s="363"/>
      <c r="BH201" s="363"/>
      <c r="BI201" s="363"/>
      <c r="BJ201" s="363"/>
      <c r="BK201" s="363"/>
      <c r="BL201" s="363"/>
      <c r="BM201" s="363"/>
      <c r="BN201" s="363"/>
      <c r="BO201" s="363"/>
      <c r="BP201" s="363"/>
      <c r="BQ201" s="363"/>
      <c r="BR201" s="363"/>
      <c r="BS201" s="363"/>
      <c r="BT201" s="363"/>
      <c r="BU201" s="363"/>
      <c r="BV201" s="363"/>
    </row>
    <row r="202" spans="2:74" x14ac:dyDescent="0.2">
      <c r="B202" s="86"/>
      <c r="C202" s="86"/>
      <c r="D202" s="86"/>
      <c r="E202" s="362"/>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c r="AS202" s="363"/>
      <c r="AT202" s="363"/>
      <c r="AU202" s="363"/>
      <c r="AV202" s="363"/>
      <c r="AW202" s="363"/>
      <c r="AX202" s="363"/>
      <c r="AY202" s="363"/>
      <c r="AZ202" s="363"/>
      <c r="BA202" s="363"/>
      <c r="BB202" s="363"/>
      <c r="BC202" s="363"/>
      <c r="BD202" s="363"/>
      <c r="BE202" s="363"/>
      <c r="BF202" s="363"/>
      <c r="BG202" s="363"/>
      <c r="BH202" s="363"/>
      <c r="BI202" s="363"/>
      <c r="BJ202" s="363"/>
      <c r="BK202" s="363"/>
      <c r="BL202" s="363"/>
      <c r="BM202" s="363"/>
      <c r="BN202" s="363"/>
      <c r="BO202" s="363"/>
      <c r="BP202" s="363"/>
      <c r="BQ202" s="363"/>
      <c r="BR202" s="363"/>
      <c r="BS202" s="363"/>
      <c r="BT202" s="363"/>
      <c r="BU202" s="363"/>
      <c r="BV202" s="363"/>
    </row>
    <row r="203" spans="2:74" x14ac:dyDescent="0.2">
      <c r="B203" s="86"/>
      <c r="C203" s="86"/>
      <c r="D203" s="86"/>
      <c r="E203" s="362"/>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c r="AS203" s="363"/>
      <c r="AT203" s="363"/>
      <c r="AU203" s="363"/>
      <c r="AV203" s="363"/>
      <c r="AW203" s="363"/>
      <c r="AX203" s="363"/>
      <c r="AY203" s="363"/>
      <c r="AZ203" s="363"/>
      <c r="BA203" s="363"/>
      <c r="BB203" s="363"/>
      <c r="BC203" s="363"/>
      <c r="BD203" s="363"/>
      <c r="BE203" s="363"/>
      <c r="BF203" s="363"/>
      <c r="BG203" s="363"/>
      <c r="BH203" s="363"/>
      <c r="BI203" s="363"/>
      <c r="BJ203" s="363"/>
      <c r="BK203" s="363"/>
      <c r="BL203" s="363"/>
      <c r="BM203" s="363"/>
      <c r="BN203" s="363"/>
      <c r="BO203" s="363"/>
      <c r="BP203" s="363"/>
      <c r="BQ203" s="363"/>
      <c r="BR203" s="363"/>
      <c r="BS203" s="363"/>
      <c r="BT203" s="363"/>
      <c r="BU203" s="363"/>
      <c r="BV203" s="363"/>
    </row>
    <row r="204" spans="2:74" x14ac:dyDescent="0.2">
      <c r="B204" s="86"/>
      <c r="C204" s="304"/>
      <c r="D204" s="304"/>
      <c r="E204" s="362"/>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c r="BD204" s="363"/>
      <c r="BE204" s="363"/>
      <c r="BF204" s="363"/>
      <c r="BG204" s="363"/>
      <c r="BH204" s="363"/>
      <c r="BI204" s="363"/>
      <c r="BJ204" s="363"/>
      <c r="BK204" s="363"/>
      <c r="BL204" s="363"/>
      <c r="BM204" s="363"/>
      <c r="BN204" s="363"/>
      <c r="BO204" s="363"/>
      <c r="BP204" s="363"/>
      <c r="BQ204" s="363"/>
      <c r="BR204" s="363"/>
      <c r="BS204" s="363"/>
      <c r="BT204" s="363"/>
      <c r="BU204" s="363"/>
      <c r="BV204" s="363"/>
    </row>
    <row r="205" spans="2:74" x14ac:dyDescent="0.2">
      <c r="B205" s="86"/>
      <c r="C205" s="304"/>
      <c r="D205" s="304"/>
      <c r="E205" s="362"/>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3"/>
      <c r="AY205" s="363"/>
      <c r="AZ205" s="363"/>
      <c r="BA205" s="363"/>
      <c r="BB205" s="363"/>
      <c r="BC205" s="363"/>
      <c r="BD205" s="363"/>
      <c r="BE205" s="363"/>
      <c r="BF205" s="363"/>
      <c r="BG205" s="363"/>
      <c r="BH205" s="363"/>
      <c r="BI205" s="363"/>
      <c r="BJ205" s="363"/>
      <c r="BK205" s="363"/>
      <c r="BL205" s="363"/>
      <c r="BM205" s="363"/>
      <c r="BN205" s="363"/>
      <c r="BO205" s="363"/>
      <c r="BP205" s="363"/>
      <c r="BQ205" s="363"/>
      <c r="BR205" s="363"/>
      <c r="BS205" s="363"/>
      <c r="BT205" s="363"/>
      <c r="BU205" s="363"/>
      <c r="BV205" s="363"/>
    </row>
    <row r="206" spans="2:74" x14ac:dyDescent="0.2">
      <c r="B206" s="86"/>
      <c r="C206" s="304"/>
      <c r="D206" s="304"/>
      <c r="E206" s="362"/>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3"/>
      <c r="AY206" s="363"/>
      <c r="AZ206" s="363"/>
      <c r="BA206" s="363"/>
      <c r="BB206" s="363"/>
      <c r="BC206" s="363"/>
      <c r="BD206" s="363"/>
      <c r="BE206" s="363"/>
      <c r="BF206" s="363"/>
      <c r="BG206" s="363"/>
      <c r="BH206" s="363"/>
      <c r="BI206" s="363"/>
      <c r="BJ206" s="363"/>
      <c r="BK206" s="363"/>
      <c r="BL206" s="363"/>
      <c r="BM206" s="363"/>
      <c r="BN206" s="363"/>
      <c r="BO206" s="363"/>
      <c r="BP206" s="363"/>
      <c r="BQ206" s="363"/>
      <c r="BR206" s="363"/>
      <c r="BS206" s="363"/>
      <c r="BT206" s="363"/>
      <c r="BU206" s="363"/>
      <c r="BV206" s="363"/>
    </row>
    <row r="207" spans="2:74" x14ac:dyDescent="0.2">
      <c r="B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row>
    <row r="208" spans="2:74" x14ac:dyDescent="0.2">
      <c r="B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row>
    <row r="209" spans="2:74" x14ac:dyDescent="0.2">
      <c r="B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c r="AL209" s="280"/>
      <c r="AM209" s="280"/>
      <c r="AN209" s="280"/>
      <c r="AO209" s="280"/>
      <c r="AP209" s="280"/>
      <c r="AQ209" s="280"/>
      <c r="AR209" s="280"/>
      <c r="AS209" s="280"/>
      <c r="AT209" s="280"/>
      <c r="AU209" s="280"/>
      <c r="AV209" s="280"/>
      <c r="AW209" s="280"/>
      <c r="AX209" s="280"/>
      <c r="AY209" s="280"/>
      <c r="AZ209" s="280"/>
      <c r="BA209" s="280"/>
      <c r="BB209" s="280"/>
      <c r="BC209" s="280"/>
      <c r="BD209" s="280"/>
      <c r="BE209" s="280"/>
      <c r="BF209" s="280"/>
      <c r="BG209" s="280"/>
      <c r="BH209" s="280"/>
      <c r="BI209" s="280"/>
      <c r="BJ209" s="280"/>
      <c r="BK209" s="280"/>
      <c r="BL209" s="280"/>
      <c r="BM209" s="280"/>
      <c r="BN209" s="280"/>
      <c r="BO209" s="280"/>
      <c r="BP209" s="280"/>
      <c r="BQ209" s="280"/>
      <c r="BR209" s="280"/>
      <c r="BS209" s="280"/>
      <c r="BT209" s="280"/>
      <c r="BU209" s="280"/>
      <c r="BV209" s="280"/>
    </row>
    <row r="210" spans="2:74" x14ac:dyDescent="0.2">
      <c r="B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row>
    <row r="211" spans="2:74" x14ac:dyDescent="0.2">
      <c r="B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row>
    <row r="212" spans="2:74" x14ac:dyDescent="0.2">
      <c r="B212" s="280"/>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row>
    <row r="213" spans="2:74" x14ac:dyDescent="0.2">
      <c r="B213" s="280"/>
      <c r="D213" s="280"/>
      <c r="E213" s="280"/>
      <c r="F213" s="280"/>
      <c r="G213" s="280"/>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row>
    <row r="214" spans="2:74" x14ac:dyDescent="0.2">
      <c r="B214" s="280"/>
      <c r="D214" s="280"/>
      <c r="E214" s="280"/>
      <c r="F214" s="280"/>
      <c r="G214" s="280"/>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row>
    <row r="215" spans="2:74" x14ac:dyDescent="0.2">
      <c r="B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row>
    <row r="216" spans="2:74" x14ac:dyDescent="0.2">
      <c r="B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row>
    <row r="217" spans="2:74" x14ac:dyDescent="0.2">
      <c r="B217" s="280"/>
      <c r="D217" s="280"/>
      <c r="E217" s="280"/>
      <c r="F217" s="280"/>
      <c r="G217" s="280"/>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row>
    <row r="218" spans="2:74" x14ac:dyDescent="0.2">
      <c r="B218" s="280"/>
      <c r="D218" s="280"/>
      <c r="E218" s="280"/>
      <c r="F218" s="280"/>
      <c r="G218" s="280"/>
      <c r="H218" s="280"/>
      <c r="I218" s="280"/>
      <c r="J218" s="280"/>
      <c r="K218" s="280"/>
      <c r="L218" s="280"/>
      <c r="M218" s="280"/>
      <c r="N218" s="280"/>
      <c r="O218" s="280"/>
      <c r="P218" s="280"/>
      <c r="Q218" s="280"/>
      <c r="R218" s="280"/>
      <c r="S218" s="280"/>
      <c r="T218" s="280"/>
      <c r="U218" s="280"/>
      <c r="V218" s="280"/>
      <c r="W218" s="280"/>
      <c r="X218" s="280"/>
      <c r="Y218" s="280"/>
      <c r="Z218" s="280"/>
      <c r="AA218" s="280"/>
      <c r="AB218" s="280"/>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row>
    <row r="219" spans="2:74" x14ac:dyDescent="0.2">
      <c r="B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row>
    <row r="220" spans="2:74" x14ac:dyDescent="0.2">
      <c r="B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row>
    <row r="221" spans="2:74" x14ac:dyDescent="0.2">
      <c r="B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row>
    <row r="222" spans="2:74" x14ac:dyDescent="0.2">
      <c r="B222" s="280"/>
      <c r="D222" s="280"/>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AY222" s="114"/>
      <c r="AZ222" s="114"/>
      <c r="BA222" s="114"/>
      <c r="BB222" s="114"/>
      <c r="BC222" s="114"/>
      <c r="BD222" s="114"/>
      <c r="BE222" s="114"/>
      <c r="BF222" s="114"/>
      <c r="BG222" s="114"/>
      <c r="BH222" s="114"/>
      <c r="BI222" s="114"/>
      <c r="BJ222" s="114"/>
      <c r="BK222" s="114"/>
      <c r="BL222" s="114"/>
      <c r="BM222" s="114"/>
      <c r="BN222" s="114"/>
      <c r="BO222" s="114"/>
      <c r="BP222" s="114"/>
      <c r="BQ222" s="114"/>
      <c r="BR222" s="114"/>
      <c r="BS222" s="114"/>
      <c r="BT222" s="114"/>
      <c r="BU222" s="114"/>
      <c r="BV222" s="114"/>
    </row>
    <row r="223" spans="2:74" x14ac:dyDescent="0.2">
      <c r="B223" s="86"/>
      <c r="C223" s="304"/>
      <c r="D223" s="304"/>
      <c r="E223" s="362"/>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63"/>
      <c r="AY223" s="363"/>
      <c r="AZ223" s="363"/>
      <c r="BA223" s="363"/>
      <c r="BB223" s="363"/>
      <c r="BC223" s="363"/>
      <c r="BD223" s="363"/>
      <c r="BE223" s="363"/>
      <c r="BF223" s="363"/>
      <c r="BG223" s="363"/>
      <c r="BH223" s="363"/>
      <c r="BI223" s="363"/>
      <c r="BJ223" s="363"/>
      <c r="BK223" s="363"/>
      <c r="BL223" s="363"/>
      <c r="BM223" s="363"/>
      <c r="BN223" s="363"/>
      <c r="BO223" s="363"/>
      <c r="BP223" s="363"/>
      <c r="BQ223" s="363"/>
      <c r="BR223" s="363"/>
      <c r="BS223" s="363"/>
      <c r="BT223" s="363"/>
      <c r="BU223" s="363"/>
      <c r="BV223" s="363"/>
    </row>
    <row r="224" spans="2:74" x14ac:dyDescent="0.2">
      <c r="B224" s="86"/>
      <c r="C224" s="304"/>
      <c r="D224" s="304"/>
      <c r="E224" s="362"/>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3"/>
      <c r="AY224" s="363"/>
      <c r="AZ224" s="363"/>
      <c r="BA224" s="363"/>
      <c r="BB224" s="363"/>
      <c r="BC224" s="363"/>
      <c r="BD224" s="363"/>
      <c r="BE224" s="363"/>
      <c r="BF224" s="363"/>
      <c r="BG224" s="363"/>
      <c r="BH224" s="363"/>
      <c r="BI224" s="363"/>
      <c r="BJ224" s="363"/>
      <c r="BK224" s="363"/>
      <c r="BL224" s="363"/>
      <c r="BM224" s="363"/>
      <c r="BN224" s="363"/>
      <c r="BO224" s="363"/>
      <c r="BP224" s="363"/>
      <c r="BQ224" s="363"/>
      <c r="BR224" s="363"/>
      <c r="BS224" s="363"/>
      <c r="BT224" s="363"/>
      <c r="BU224" s="363"/>
      <c r="BV224" s="363"/>
    </row>
    <row r="225" spans="2:74" x14ac:dyDescent="0.2">
      <c r="B225" s="86"/>
      <c r="C225" s="304"/>
      <c r="D225" s="304"/>
      <c r="E225" s="362"/>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3"/>
      <c r="AT225" s="363"/>
      <c r="AU225" s="363"/>
      <c r="AV225" s="363"/>
      <c r="AW225" s="363"/>
      <c r="AX225" s="363"/>
      <c r="AY225" s="363"/>
      <c r="AZ225" s="363"/>
      <c r="BA225" s="363"/>
      <c r="BB225" s="363"/>
      <c r="BC225" s="363"/>
      <c r="BD225" s="363"/>
      <c r="BE225" s="363"/>
      <c r="BF225" s="363"/>
      <c r="BG225" s="363"/>
      <c r="BH225" s="363"/>
      <c r="BI225" s="363"/>
      <c r="BJ225" s="363"/>
      <c r="BK225" s="363"/>
      <c r="BL225" s="363"/>
      <c r="BM225" s="363"/>
      <c r="BN225" s="363"/>
      <c r="BO225" s="363"/>
      <c r="BP225" s="363"/>
      <c r="BQ225" s="363"/>
      <c r="BR225" s="363"/>
      <c r="BS225" s="363"/>
      <c r="BT225" s="363"/>
      <c r="BU225" s="363"/>
      <c r="BV225" s="363"/>
    </row>
    <row r="226" spans="2:74" x14ac:dyDescent="0.2">
      <c r="B226" s="86"/>
      <c r="C226" s="304"/>
      <c r="D226" s="304"/>
      <c r="E226" s="362"/>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c r="BT226" s="363"/>
      <c r="BU226" s="363"/>
      <c r="BV226" s="363"/>
    </row>
    <row r="227" spans="2:74" x14ac:dyDescent="0.2">
      <c r="B227" s="86"/>
      <c r="C227" s="304"/>
      <c r="D227" s="304"/>
      <c r="E227" s="362"/>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row>
    <row r="228" spans="2:74" x14ac:dyDescent="0.2">
      <c r="B228" s="86"/>
      <c r="C228" s="304"/>
      <c r="D228" s="304"/>
      <c r="E228" s="362"/>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63"/>
      <c r="BM228" s="363"/>
      <c r="BN228" s="363"/>
      <c r="BO228" s="363"/>
      <c r="BP228" s="363"/>
      <c r="BQ228" s="363"/>
      <c r="BR228" s="363"/>
      <c r="BS228" s="363"/>
      <c r="BT228" s="363"/>
      <c r="BU228" s="363"/>
      <c r="BV228" s="363"/>
    </row>
    <row r="229" spans="2:74" x14ac:dyDescent="0.2">
      <c r="B229" s="86"/>
      <c r="C229" s="304"/>
      <c r="D229" s="304"/>
      <c r="E229" s="362"/>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c r="BT229" s="363"/>
      <c r="BU229" s="363"/>
      <c r="BV229" s="363"/>
    </row>
    <row r="230" spans="2:74" x14ac:dyDescent="0.2">
      <c r="B230" s="86"/>
      <c r="C230" s="304"/>
      <c r="D230" s="304"/>
      <c r="E230" s="362"/>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row>
    <row r="231" spans="2:74" x14ac:dyDescent="0.2">
      <c r="B231" s="86"/>
      <c r="C231" s="304"/>
      <c r="D231" s="304"/>
      <c r="E231" s="362"/>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row>
    <row r="232" spans="2:74" x14ac:dyDescent="0.2">
      <c r="B232" s="86"/>
      <c r="C232" s="304"/>
      <c r="D232" s="304"/>
      <c r="E232" s="362"/>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row>
    <row r="233" spans="2:74" x14ac:dyDescent="0.2">
      <c r="B233" s="86"/>
      <c r="C233" s="304"/>
      <c r="D233" s="304"/>
      <c r="E233" s="362"/>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row>
    <row r="234" spans="2:74" x14ac:dyDescent="0.2">
      <c r="B234" s="86"/>
      <c r="C234" s="304"/>
      <c r="D234" s="304"/>
      <c r="E234" s="362"/>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63"/>
      <c r="AY234" s="363"/>
      <c r="AZ234" s="363"/>
      <c r="BA234" s="363"/>
      <c r="BB234" s="363"/>
      <c r="BC234" s="363"/>
      <c r="BD234" s="363"/>
      <c r="BE234" s="363"/>
      <c r="BF234" s="363"/>
      <c r="BG234" s="363"/>
      <c r="BH234" s="363"/>
      <c r="BI234" s="363"/>
      <c r="BJ234" s="363"/>
      <c r="BK234" s="363"/>
      <c r="BL234" s="363"/>
      <c r="BM234" s="363"/>
      <c r="BN234" s="363"/>
      <c r="BO234" s="363"/>
      <c r="BP234" s="363"/>
      <c r="BQ234" s="363"/>
      <c r="BR234" s="363"/>
      <c r="BS234" s="363"/>
      <c r="BT234" s="363"/>
      <c r="BU234" s="363"/>
      <c r="BV234" s="363"/>
    </row>
    <row r="235" spans="2:74" x14ac:dyDescent="0.2">
      <c r="B235" s="86"/>
      <c r="C235" s="304"/>
      <c r="D235" s="304"/>
      <c r="E235" s="362"/>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3"/>
      <c r="AY235" s="363"/>
      <c r="AZ235" s="363"/>
      <c r="BA235" s="363"/>
      <c r="BB235" s="363"/>
      <c r="BC235" s="363"/>
      <c r="BD235" s="363"/>
      <c r="BE235" s="363"/>
      <c r="BF235" s="363"/>
      <c r="BG235" s="363"/>
      <c r="BH235" s="363"/>
      <c r="BI235" s="363"/>
      <c r="BJ235" s="363"/>
      <c r="BK235" s="363"/>
      <c r="BL235" s="363"/>
      <c r="BM235" s="363"/>
      <c r="BN235" s="363"/>
      <c r="BO235" s="363"/>
      <c r="BP235" s="363"/>
      <c r="BQ235" s="363"/>
      <c r="BR235" s="363"/>
      <c r="BS235" s="363"/>
      <c r="BT235" s="363"/>
      <c r="BU235" s="363"/>
      <c r="BV235" s="363"/>
    </row>
    <row r="236" spans="2:74" x14ac:dyDescent="0.2">
      <c r="B236" s="86"/>
      <c r="C236" s="304"/>
      <c r="D236" s="304"/>
      <c r="E236" s="362"/>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63"/>
      <c r="AY236" s="363"/>
      <c r="AZ236" s="363"/>
      <c r="BA236" s="363"/>
      <c r="BB236" s="363"/>
      <c r="BC236" s="363"/>
      <c r="BD236" s="363"/>
      <c r="BE236" s="363"/>
      <c r="BF236" s="363"/>
      <c r="BG236" s="363"/>
      <c r="BH236" s="363"/>
      <c r="BI236" s="363"/>
      <c r="BJ236" s="363"/>
      <c r="BK236" s="363"/>
      <c r="BL236" s="363"/>
      <c r="BM236" s="363"/>
      <c r="BN236" s="363"/>
      <c r="BO236" s="363"/>
      <c r="BP236" s="363"/>
      <c r="BQ236" s="363"/>
      <c r="BR236" s="363"/>
      <c r="BS236" s="363"/>
      <c r="BT236" s="363"/>
      <c r="BU236" s="363"/>
      <c r="BV236" s="363"/>
    </row>
    <row r="237" spans="2:74" x14ac:dyDescent="0.2">
      <c r="B237" s="86"/>
      <c r="C237" s="304"/>
      <c r="D237" s="304"/>
      <c r="E237" s="362"/>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row>
    <row r="238" spans="2:74" x14ac:dyDescent="0.2">
      <c r="B238" s="86"/>
      <c r="C238" s="304"/>
      <c r="D238" s="304"/>
      <c r="E238" s="362"/>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3"/>
      <c r="BH238" s="363"/>
      <c r="BI238" s="363"/>
      <c r="BJ238" s="363"/>
      <c r="BK238" s="363"/>
      <c r="BL238" s="363"/>
      <c r="BM238" s="363"/>
      <c r="BN238" s="363"/>
      <c r="BO238" s="363"/>
      <c r="BP238" s="363"/>
      <c r="BQ238" s="363"/>
      <c r="BR238" s="363"/>
      <c r="BS238" s="363"/>
      <c r="BT238" s="363"/>
      <c r="BU238" s="363"/>
      <c r="BV238" s="363"/>
    </row>
    <row r="239" spans="2:74" x14ac:dyDescent="0.2">
      <c r="B239" s="86"/>
      <c r="C239" s="304"/>
      <c r="D239" s="304"/>
      <c r="E239" s="362"/>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3"/>
      <c r="BH239" s="363"/>
      <c r="BI239" s="363"/>
      <c r="BJ239" s="363"/>
      <c r="BK239" s="363"/>
      <c r="BL239" s="363"/>
      <c r="BM239" s="363"/>
      <c r="BN239" s="363"/>
      <c r="BO239" s="363"/>
      <c r="BP239" s="363"/>
      <c r="BQ239" s="363"/>
      <c r="BR239" s="363"/>
      <c r="BS239" s="363"/>
      <c r="BT239" s="363"/>
      <c r="BU239" s="363"/>
      <c r="BV239" s="363"/>
    </row>
    <row r="240" spans="2:74" x14ac:dyDescent="0.2">
      <c r="B240" s="86"/>
      <c r="C240" s="304"/>
      <c r="D240" s="304"/>
      <c r="E240" s="362"/>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row>
    <row r="241" spans="2:74" x14ac:dyDescent="0.2">
      <c r="B241" s="86"/>
      <c r="C241" s="304"/>
      <c r="D241" s="304"/>
      <c r="E241" s="362"/>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63"/>
      <c r="AY241" s="363"/>
      <c r="AZ241" s="363"/>
      <c r="BA241" s="363"/>
      <c r="BB241" s="363"/>
      <c r="BC241" s="363"/>
      <c r="BD241" s="363"/>
      <c r="BE241" s="363"/>
      <c r="BF241" s="363"/>
      <c r="BG241" s="363"/>
      <c r="BH241" s="363"/>
      <c r="BI241" s="363"/>
      <c r="BJ241" s="363"/>
      <c r="BK241" s="363"/>
      <c r="BL241" s="363"/>
      <c r="BM241" s="363"/>
      <c r="BN241" s="363"/>
      <c r="BO241" s="363"/>
      <c r="BP241" s="363"/>
      <c r="BQ241" s="363"/>
      <c r="BR241" s="363"/>
      <c r="BS241" s="363"/>
      <c r="BT241" s="363"/>
      <c r="BU241" s="363"/>
      <c r="BV241" s="363"/>
    </row>
    <row r="242" spans="2:74" x14ac:dyDescent="0.2">
      <c r="B242" s="86"/>
      <c r="C242" s="304"/>
      <c r="D242" s="304"/>
      <c r="E242" s="362"/>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363"/>
      <c r="AY242" s="363"/>
      <c r="AZ242" s="363"/>
      <c r="BA242" s="363"/>
      <c r="BB242" s="363"/>
      <c r="BC242" s="363"/>
      <c r="BD242" s="363"/>
      <c r="BE242" s="363"/>
      <c r="BF242" s="363"/>
      <c r="BG242" s="363"/>
      <c r="BH242" s="363"/>
      <c r="BI242" s="363"/>
      <c r="BJ242" s="363"/>
      <c r="BK242" s="363"/>
      <c r="BL242" s="363"/>
      <c r="BM242" s="363"/>
      <c r="BN242" s="363"/>
      <c r="BO242" s="363"/>
      <c r="BP242" s="363"/>
      <c r="BQ242" s="363"/>
      <c r="BR242" s="363"/>
      <c r="BS242" s="363"/>
      <c r="BT242" s="363"/>
      <c r="BU242" s="363"/>
      <c r="BV242" s="363"/>
    </row>
    <row r="243" spans="2:74" x14ac:dyDescent="0.2">
      <c r="B243" s="86"/>
      <c r="C243" s="304"/>
      <c r="D243" s="304"/>
      <c r="E243" s="362"/>
      <c r="F243" s="363"/>
      <c r="G243" s="363"/>
      <c r="H243" s="363"/>
      <c r="I243" s="363"/>
      <c r="J243" s="363"/>
      <c r="K243" s="363"/>
      <c r="L243" s="363"/>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row>
    <row r="244" spans="2:74" x14ac:dyDescent="0.2">
      <c r="B244" s="86"/>
      <c r="C244" s="304"/>
      <c r="D244" s="304"/>
      <c r="E244" s="362"/>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row>
    <row r="245" spans="2:74" x14ac:dyDescent="0.2">
      <c r="B245" s="86"/>
      <c r="C245" s="304"/>
      <c r="D245" s="304"/>
      <c r="E245" s="362"/>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row>
    <row r="246" spans="2:74" x14ac:dyDescent="0.2">
      <c r="B246" s="86"/>
      <c r="C246" s="304"/>
      <c r="D246" s="304"/>
      <c r="E246" s="362"/>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row>
    <row r="247" spans="2:74" x14ac:dyDescent="0.2">
      <c r="B247" s="86"/>
      <c r="C247" s="304"/>
      <c r="D247" s="304"/>
      <c r="E247" s="362"/>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3"/>
      <c r="AT247" s="363"/>
      <c r="AU247" s="363"/>
      <c r="AV247" s="363"/>
      <c r="AW247" s="363"/>
      <c r="AX247" s="363"/>
      <c r="AY247" s="363"/>
      <c r="AZ247" s="363"/>
      <c r="BA247" s="363"/>
      <c r="BB247" s="363"/>
      <c r="BC247" s="363"/>
      <c r="BD247" s="363"/>
      <c r="BE247" s="363"/>
      <c r="BF247" s="363"/>
      <c r="BG247" s="363"/>
      <c r="BH247" s="363"/>
      <c r="BI247" s="363"/>
      <c r="BJ247" s="363"/>
      <c r="BK247" s="363"/>
      <c r="BL247" s="363"/>
      <c r="BM247" s="363"/>
      <c r="BN247" s="363"/>
      <c r="BO247" s="363"/>
      <c r="BP247" s="363"/>
      <c r="BQ247" s="363"/>
      <c r="BR247" s="363"/>
      <c r="BS247" s="363"/>
      <c r="BT247" s="363"/>
      <c r="BU247" s="363"/>
      <c r="BV247" s="363"/>
    </row>
    <row r="248" spans="2:74" x14ac:dyDescent="0.2">
      <c r="B248" s="86"/>
      <c r="C248" s="304"/>
      <c r="D248" s="304"/>
      <c r="E248" s="362"/>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3"/>
      <c r="AT248" s="363"/>
      <c r="AU248" s="363"/>
      <c r="AV248" s="363"/>
      <c r="AW248" s="363"/>
      <c r="AX248" s="363"/>
      <c r="AY248" s="363"/>
      <c r="AZ248" s="363"/>
      <c r="BA248" s="363"/>
      <c r="BB248" s="363"/>
      <c r="BC248" s="363"/>
      <c r="BD248" s="363"/>
      <c r="BE248" s="363"/>
      <c r="BF248" s="363"/>
      <c r="BG248" s="363"/>
      <c r="BH248" s="363"/>
      <c r="BI248" s="363"/>
      <c r="BJ248" s="363"/>
      <c r="BK248" s="363"/>
      <c r="BL248" s="363"/>
      <c r="BM248" s="363"/>
      <c r="BN248" s="363"/>
      <c r="BO248" s="363"/>
      <c r="BP248" s="363"/>
      <c r="BQ248" s="363"/>
      <c r="BR248" s="363"/>
      <c r="BS248" s="363"/>
      <c r="BT248" s="363"/>
      <c r="BU248" s="363"/>
      <c r="BV248" s="363"/>
    </row>
    <row r="249" spans="2:74" x14ac:dyDescent="0.2">
      <c r="B249" s="86"/>
      <c r="C249" s="304"/>
      <c r="D249" s="304"/>
      <c r="E249" s="362"/>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3"/>
      <c r="AT249" s="363"/>
      <c r="AU249" s="363"/>
      <c r="AV249" s="363"/>
      <c r="AW249" s="363"/>
      <c r="AX249" s="363"/>
      <c r="AY249" s="363"/>
      <c r="AZ249" s="363"/>
      <c r="BA249" s="363"/>
      <c r="BB249" s="363"/>
      <c r="BC249" s="363"/>
      <c r="BD249" s="363"/>
      <c r="BE249" s="363"/>
      <c r="BF249" s="363"/>
      <c r="BG249" s="363"/>
      <c r="BH249" s="363"/>
      <c r="BI249" s="363"/>
      <c r="BJ249" s="363"/>
      <c r="BK249" s="363"/>
      <c r="BL249" s="363"/>
      <c r="BM249" s="363"/>
      <c r="BN249" s="363"/>
      <c r="BO249" s="363"/>
      <c r="BP249" s="363"/>
      <c r="BQ249" s="363"/>
      <c r="BR249" s="363"/>
      <c r="BS249" s="363"/>
      <c r="BT249" s="363"/>
      <c r="BU249" s="363"/>
      <c r="BV249" s="363"/>
    </row>
    <row r="250" spans="2:74" x14ac:dyDescent="0.2">
      <c r="B250" s="86"/>
      <c r="C250" s="304"/>
      <c r="D250" s="304"/>
      <c r="E250" s="362"/>
      <c r="F250" s="363"/>
      <c r="G250" s="363"/>
      <c r="H250" s="363"/>
      <c r="I250" s="363"/>
      <c r="J250" s="363"/>
      <c r="K250" s="363"/>
      <c r="L250" s="363"/>
      <c r="M250" s="363"/>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3"/>
      <c r="AY250" s="363"/>
      <c r="AZ250" s="363"/>
      <c r="BA250" s="363"/>
      <c r="BB250" s="363"/>
      <c r="BC250" s="363"/>
      <c r="BD250" s="363"/>
      <c r="BE250" s="363"/>
      <c r="BF250" s="363"/>
      <c r="BG250" s="363"/>
      <c r="BH250" s="363"/>
      <c r="BI250" s="363"/>
      <c r="BJ250" s="363"/>
      <c r="BK250" s="363"/>
      <c r="BL250" s="363"/>
      <c r="BM250" s="363"/>
      <c r="BN250" s="363"/>
      <c r="BO250" s="363"/>
      <c r="BP250" s="363"/>
      <c r="BQ250" s="363"/>
      <c r="BR250" s="363"/>
      <c r="BS250" s="363"/>
      <c r="BT250" s="363"/>
      <c r="BU250" s="363"/>
      <c r="BV250" s="363"/>
    </row>
    <row r="251" spans="2:74" x14ac:dyDescent="0.2">
      <c r="B251" s="86"/>
      <c r="C251" s="304"/>
      <c r="D251" s="304"/>
      <c r="E251" s="362"/>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63"/>
      <c r="AY251" s="363"/>
      <c r="AZ251" s="363"/>
      <c r="BA251" s="363"/>
      <c r="BB251" s="363"/>
      <c r="BC251" s="363"/>
      <c r="BD251" s="363"/>
      <c r="BE251" s="363"/>
      <c r="BF251" s="363"/>
      <c r="BG251" s="363"/>
      <c r="BH251" s="363"/>
      <c r="BI251" s="363"/>
      <c r="BJ251" s="363"/>
      <c r="BK251" s="363"/>
      <c r="BL251" s="363"/>
      <c r="BM251" s="363"/>
      <c r="BN251" s="363"/>
      <c r="BO251" s="363"/>
      <c r="BP251" s="363"/>
      <c r="BQ251" s="363"/>
      <c r="BR251" s="363"/>
      <c r="BS251" s="363"/>
      <c r="BT251" s="363"/>
      <c r="BU251" s="363"/>
      <c r="BV251" s="363"/>
    </row>
    <row r="252" spans="2:74" x14ac:dyDescent="0.2">
      <c r="B252" s="86"/>
      <c r="C252" s="304"/>
      <c r="D252" s="304"/>
      <c r="E252" s="362"/>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c r="AS252" s="363"/>
      <c r="AT252" s="363"/>
      <c r="AU252" s="363"/>
      <c r="AV252" s="363"/>
      <c r="AW252" s="363"/>
      <c r="AX252" s="363"/>
      <c r="AY252" s="363"/>
      <c r="AZ252" s="363"/>
      <c r="BA252" s="363"/>
      <c r="BB252" s="363"/>
      <c r="BC252" s="363"/>
      <c r="BD252" s="363"/>
      <c r="BE252" s="363"/>
      <c r="BF252" s="363"/>
      <c r="BG252" s="363"/>
      <c r="BH252" s="363"/>
      <c r="BI252" s="363"/>
      <c r="BJ252" s="363"/>
      <c r="BK252" s="363"/>
      <c r="BL252" s="363"/>
      <c r="BM252" s="363"/>
      <c r="BN252" s="363"/>
      <c r="BO252" s="363"/>
      <c r="BP252" s="363"/>
      <c r="BQ252" s="363"/>
      <c r="BR252" s="363"/>
      <c r="BS252" s="363"/>
      <c r="BT252" s="363"/>
      <c r="BU252" s="363"/>
      <c r="BV252" s="363"/>
    </row>
    <row r="253" spans="2:74" x14ac:dyDescent="0.2">
      <c r="B253" s="86"/>
      <c r="C253" s="304"/>
      <c r="D253" s="304"/>
      <c r="E253" s="362"/>
      <c r="F253" s="363"/>
      <c r="G253" s="363"/>
      <c r="H253" s="363"/>
      <c r="I253" s="363"/>
      <c r="J253" s="363"/>
      <c r="K253" s="363"/>
      <c r="L253" s="363"/>
      <c r="M253" s="363"/>
      <c r="N253" s="363"/>
      <c r="O253" s="363"/>
      <c r="P253" s="363"/>
      <c r="Q253" s="363"/>
      <c r="R253" s="363"/>
      <c r="S253" s="363"/>
      <c r="T253" s="363"/>
      <c r="U253" s="363"/>
      <c r="V253" s="363"/>
      <c r="W253" s="363"/>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3"/>
      <c r="AY253" s="363"/>
      <c r="AZ253" s="363"/>
      <c r="BA253" s="363"/>
      <c r="BB253" s="363"/>
      <c r="BC253" s="363"/>
      <c r="BD253" s="363"/>
      <c r="BE253" s="363"/>
      <c r="BF253" s="363"/>
      <c r="BG253" s="363"/>
      <c r="BH253" s="363"/>
      <c r="BI253" s="363"/>
      <c r="BJ253" s="363"/>
      <c r="BK253" s="363"/>
      <c r="BL253" s="363"/>
      <c r="BM253" s="363"/>
      <c r="BN253" s="363"/>
      <c r="BO253" s="363"/>
      <c r="BP253" s="363"/>
      <c r="BQ253" s="363"/>
      <c r="BR253" s="363"/>
      <c r="BS253" s="363"/>
      <c r="BT253" s="363"/>
      <c r="BU253" s="363"/>
      <c r="BV253" s="363"/>
    </row>
    <row r="254" spans="2:74" x14ac:dyDescent="0.2">
      <c r="B254" s="86"/>
      <c r="C254" s="304"/>
      <c r="D254" s="304"/>
      <c r="E254" s="362"/>
      <c r="F254" s="363"/>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3"/>
      <c r="AY254" s="363"/>
      <c r="AZ254" s="363"/>
      <c r="BA254" s="363"/>
      <c r="BB254" s="363"/>
      <c r="BC254" s="363"/>
      <c r="BD254" s="363"/>
      <c r="BE254" s="363"/>
      <c r="BF254" s="363"/>
      <c r="BG254" s="363"/>
      <c r="BH254" s="363"/>
      <c r="BI254" s="363"/>
      <c r="BJ254" s="363"/>
      <c r="BK254" s="363"/>
      <c r="BL254" s="363"/>
      <c r="BM254" s="363"/>
      <c r="BN254" s="363"/>
      <c r="BO254" s="363"/>
      <c r="BP254" s="363"/>
      <c r="BQ254" s="363"/>
      <c r="BR254" s="363"/>
      <c r="BS254" s="363"/>
      <c r="BT254" s="363"/>
      <c r="BU254" s="363"/>
      <c r="BV254" s="363"/>
    </row>
    <row r="255" spans="2:74" x14ac:dyDescent="0.2">
      <c r="B255" s="86"/>
      <c r="C255" s="304"/>
      <c r="D255" s="304"/>
      <c r="E255" s="362"/>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3"/>
      <c r="AY255" s="363"/>
      <c r="AZ255" s="363"/>
      <c r="BA255" s="363"/>
      <c r="BB255" s="363"/>
      <c r="BC255" s="363"/>
      <c r="BD255" s="363"/>
      <c r="BE255" s="363"/>
      <c r="BF255" s="363"/>
      <c r="BG255" s="363"/>
      <c r="BH255" s="363"/>
      <c r="BI255" s="363"/>
      <c r="BJ255" s="363"/>
      <c r="BK255" s="363"/>
      <c r="BL255" s="363"/>
      <c r="BM255" s="363"/>
      <c r="BN255" s="363"/>
      <c r="BO255" s="363"/>
      <c r="BP255" s="363"/>
      <c r="BQ255" s="363"/>
      <c r="BR255" s="363"/>
      <c r="BS255" s="363"/>
      <c r="BT255" s="363"/>
      <c r="BU255" s="363"/>
      <c r="BV255" s="363"/>
    </row>
    <row r="256" spans="2:74" x14ac:dyDescent="0.2">
      <c r="B256" s="86"/>
      <c r="C256" s="304"/>
      <c r="D256" s="304"/>
      <c r="E256" s="362"/>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3"/>
      <c r="AY256" s="363"/>
      <c r="AZ256" s="363"/>
      <c r="BA256" s="363"/>
      <c r="BB256" s="363"/>
      <c r="BC256" s="363"/>
      <c r="BD256" s="363"/>
      <c r="BE256" s="363"/>
      <c r="BF256" s="363"/>
      <c r="BG256" s="363"/>
      <c r="BH256" s="363"/>
      <c r="BI256" s="363"/>
      <c r="BJ256" s="363"/>
      <c r="BK256" s="363"/>
      <c r="BL256" s="363"/>
      <c r="BM256" s="363"/>
      <c r="BN256" s="363"/>
      <c r="BO256" s="363"/>
      <c r="BP256" s="363"/>
      <c r="BQ256" s="363"/>
      <c r="BR256" s="363"/>
      <c r="BS256" s="363"/>
      <c r="BT256" s="363"/>
      <c r="BU256" s="363"/>
      <c r="BV256" s="363"/>
    </row>
    <row r="257" spans="2:74" x14ac:dyDescent="0.2">
      <c r="B257" s="86"/>
      <c r="C257" s="304"/>
      <c r="D257" s="304"/>
      <c r="E257" s="362"/>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3"/>
      <c r="AY257" s="363"/>
      <c r="AZ257" s="363"/>
      <c r="BA257" s="363"/>
      <c r="BB257" s="363"/>
      <c r="BC257" s="363"/>
      <c r="BD257" s="363"/>
      <c r="BE257" s="363"/>
      <c r="BF257" s="363"/>
      <c r="BG257" s="363"/>
      <c r="BH257" s="363"/>
      <c r="BI257" s="363"/>
      <c r="BJ257" s="363"/>
      <c r="BK257" s="363"/>
      <c r="BL257" s="363"/>
      <c r="BM257" s="363"/>
      <c r="BN257" s="363"/>
      <c r="BO257" s="363"/>
      <c r="BP257" s="363"/>
      <c r="BQ257" s="363"/>
      <c r="BR257" s="363"/>
      <c r="BS257" s="363"/>
      <c r="BT257" s="363"/>
      <c r="BU257" s="363"/>
      <c r="BV257" s="363"/>
    </row>
    <row r="258" spans="2:74" x14ac:dyDescent="0.2">
      <c r="B258" s="86"/>
      <c r="C258" s="304"/>
      <c r="D258" s="304"/>
      <c r="E258" s="362"/>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3"/>
      <c r="BH258" s="363"/>
      <c r="BI258" s="363"/>
      <c r="BJ258" s="363"/>
      <c r="BK258" s="363"/>
      <c r="BL258" s="363"/>
      <c r="BM258" s="363"/>
      <c r="BN258" s="363"/>
      <c r="BO258" s="363"/>
      <c r="BP258" s="363"/>
      <c r="BQ258" s="363"/>
      <c r="BR258" s="363"/>
      <c r="BS258" s="363"/>
      <c r="BT258" s="363"/>
      <c r="BU258" s="363"/>
      <c r="BV258" s="363"/>
    </row>
    <row r="259" spans="2:74" x14ac:dyDescent="0.2">
      <c r="B259" s="86"/>
      <c r="C259" s="304"/>
      <c r="D259" s="304"/>
      <c r="E259" s="362"/>
      <c r="F259" s="363"/>
      <c r="G259" s="363"/>
      <c r="H259" s="363"/>
      <c r="I259" s="363"/>
      <c r="J259" s="363"/>
      <c r="K259" s="363"/>
      <c r="L259" s="363"/>
      <c r="M259" s="363"/>
      <c r="N259" s="363"/>
      <c r="O259" s="363"/>
      <c r="P259" s="363"/>
      <c r="Q259" s="36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3"/>
      <c r="BE259" s="363"/>
      <c r="BF259" s="363"/>
      <c r="BG259" s="363"/>
      <c r="BH259" s="363"/>
      <c r="BI259" s="363"/>
      <c r="BJ259" s="363"/>
      <c r="BK259" s="363"/>
      <c r="BL259" s="363"/>
      <c r="BM259" s="363"/>
      <c r="BN259" s="363"/>
      <c r="BO259" s="363"/>
      <c r="BP259" s="363"/>
      <c r="BQ259" s="363"/>
      <c r="BR259" s="363"/>
      <c r="BS259" s="363"/>
      <c r="BT259" s="363"/>
      <c r="BU259" s="363"/>
      <c r="BV259" s="363"/>
    </row>
    <row r="260" spans="2:74" x14ac:dyDescent="0.2">
      <c r="B260" s="86"/>
      <c r="C260" s="304"/>
      <c r="D260" s="304"/>
      <c r="E260" s="362"/>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3"/>
      <c r="BE260" s="363"/>
      <c r="BF260" s="363"/>
      <c r="BG260" s="363"/>
      <c r="BH260" s="363"/>
      <c r="BI260" s="363"/>
      <c r="BJ260" s="363"/>
      <c r="BK260" s="363"/>
      <c r="BL260" s="363"/>
      <c r="BM260" s="363"/>
      <c r="BN260" s="363"/>
      <c r="BO260" s="363"/>
      <c r="BP260" s="363"/>
      <c r="BQ260" s="363"/>
      <c r="BR260" s="363"/>
      <c r="BS260" s="363"/>
      <c r="BT260" s="363"/>
      <c r="BU260" s="363"/>
      <c r="BV260" s="363"/>
    </row>
    <row r="261" spans="2:74" x14ac:dyDescent="0.2">
      <c r="B261" s="86"/>
      <c r="C261" s="86"/>
      <c r="D261" s="86"/>
      <c r="E261" s="362"/>
      <c r="F261" s="363"/>
      <c r="G261" s="363"/>
      <c r="H261" s="363"/>
      <c r="I261" s="363"/>
      <c r="J261" s="363"/>
      <c r="K261" s="363"/>
      <c r="L261" s="363"/>
      <c r="M261" s="363"/>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c r="AS261" s="363"/>
      <c r="AT261" s="363"/>
      <c r="AU261" s="363"/>
      <c r="AV261" s="363"/>
      <c r="AW261" s="363"/>
      <c r="AX261" s="363"/>
      <c r="AY261" s="363"/>
      <c r="AZ261" s="363"/>
      <c r="BA261" s="363"/>
      <c r="BB261" s="363"/>
      <c r="BC261" s="363"/>
      <c r="BD261" s="363"/>
      <c r="BE261" s="363"/>
      <c r="BF261" s="363"/>
      <c r="BG261" s="363"/>
      <c r="BH261" s="363"/>
      <c r="BI261" s="363"/>
      <c r="BJ261" s="363"/>
      <c r="BK261" s="363"/>
      <c r="BL261" s="363"/>
      <c r="BM261" s="363"/>
      <c r="BN261" s="363"/>
      <c r="BO261" s="363"/>
      <c r="BP261" s="363"/>
      <c r="BQ261" s="363"/>
      <c r="BR261" s="363"/>
      <c r="BS261" s="363"/>
      <c r="BT261" s="363"/>
      <c r="BU261" s="363"/>
      <c r="BV261" s="363"/>
    </row>
    <row r="262" spans="2:74" x14ac:dyDescent="0.2">
      <c r="B262" s="86"/>
      <c r="C262" s="304"/>
      <c r="D262" s="304"/>
      <c r="E262" s="362"/>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L262" s="363"/>
      <c r="BM262" s="363"/>
      <c r="BN262" s="363"/>
      <c r="BO262" s="363"/>
      <c r="BP262" s="363"/>
      <c r="BQ262" s="363"/>
      <c r="BR262" s="363"/>
      <c r="BS262" s="363"/>
      <c r="BT262" s="363"/>
      <c r="BU262" s="363"/>
      <c r="BV262" s="363"/>
    </row>
    <row r="263" spans="2:74" x14ac:dyDescent="0.2">
      <c r="B263" s="314"/>
      <c r="C263" s="304"/>
      <c r="D263" s="304"/>
      <c r="E263" s="362"/>
      <c r="F263" s="363"/>
      <c r="G263" s="363"/>
      <c r="H263" s="363"/>
      <c r="I263" s="363"/>
      <c r="J263" s="363"/>
      <c r="K263" s="363"/>
      <c r="L263" s="363"/>
      <c r="M263" s="363"/>
      <c r="N263" s="363"/>
      <c r="O263" s="363"/>
      <c r="P263" s="363"/>
      <c r="Q263" s="363"/>
      <c r="R263" s="363"/>
      <c r="S263" s="363"/>
      <c r="T263" s="363"/>
      <c r="U263" s="363"/>
      <c r="V263" s="363"/>
      <c r="W263" s="363"/>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c r="AS263" s="363"/>
      <c r="AT263" s="363"/>
      <c r="AU263" s="363"/>
      <c r="AV263" s="363"/>
      <c r="AW263" s="363"/>
      <c r="AX263" s="363"/>
      <c r="AY263" s="363"/>
      <c r="AZ263" s="363"/>
      <c r="BA263" s="363"/>
      <c r="BB263" s="363"/>
      <c r="BC263" s="363"/>
      <c r="BD263" s="363"/>
      <c r="BE263" s="363"/>
      <c r="BF263" s="363"/>
      <c r="BG263" s="363"/>
      <c r="BH263" s="363"/>
      <c r="BI263" s="363"/>
      <c r="BJ263" s="363"/>
      <c r="BK263" s="363"/>
      <c r="BL263" s="363"/>
      <c r="BM263" s="363"/>
      <c r="BN263" s="363"/>
      <c r="BO263" s="363"/>
      <c r="BP263" s="363"/>
      <c r="BQ263" s="363"/>
      <c r="BR263" s="363"/>
      <c r="BS263" s="363"/>
      <c r="BT263" s="363"/>
      <c r="BU263" s="363"/>
      <c r="BV263" s="363"/>
    </row>
    <row r="264" spans="2:74" x14ac:dyDescent="0.2">
      <c r="B264" s="86"/>
      <c r="C264" s="304"/>
      <c r="D264" s="304"/>
      <c r="E264" s="362"/>
      <c r="F264" s="363"/>
      <c r="G264" s="363"/>
      <c r="H264" s="363"/>
      <c r="I264" s="363"/>
      <c r="J264" s="363"/>
      <c r="K264" s="363"/>
      <c r="L264" s="363"/>
      <c r="M264" s="363"/>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c r="AS264" s="363"/>
      <c r="AT264" s="363"/>
      <c r="AU264" s="363"/>
      <c r="AV264" s="363"/>
      <c r="AW264" s="363"/>
      <c r="AX264" s="363"/>
      <c r="AY264" s="363"/>
      <c r="AZ264" s="363"/>
      <c r="BA264" s="363"/>
      <c r="BB264" s="363"/>
      <c r="BC264" s="363"/>
      <c r="BD264" s="363"/>
      <c r="BE264" s="363"/>
      <c r="BF264" s="363"/>
      <c r="BG264" s="363"/>
      <c r="BH264" s="363"/>
      <c r="BI264" s="363"/>
      <c r="BJ264" s="363"/>
      <c r="BK264" s="363"/>
      <c r="BL264" s="363"/>
      <c r="BM264" s="363"/>
      <c r="BN264" s="363"/>
      <c r="BO264" s="363"/>
      <c r="BP264" s="363"/>
      <c r="BQ264" s="363"/>
      <c r="BR264" s="363"/>
      <c r="BS264" s="363"/>
      <c r="BT264" s="363"/>
      <c r="BU264" s="363"/>
      <c r="BV264" s="363"/>
    </row>
    <row r="265" spans="2:74" x14ac:dyDescent="0.2">
      <c r="B265" s="86"/>
      <c r="C265" s="304"/>
      <c r="D265" s="304"/>
      <c r="E265" s="362"/>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3"/>
      <c r="AT265" s="363"/>
      <c r="AU265" s="363"/>
      <c r="AV265" s="363"/>
      <c r="AW265" s="363"/>
      <c r="AX265" s="363"/>
      <c r="AY265" s="363"/>
      <c r="AZ265" s="363"/>
      <c r="BA265" s="363"/>
      <c r="BB265" s="363"/>
      <c r="BC265" s="363"/>
      <c r="BD265" s="363"/>
      <c r="BE265" s="363"/>
      <c r="BF265" s="363"/>
      <c r="BG265" s="363"/>
      <c r="BH265" s="363"/>
      <c r="BI265" s="363"/>
      <c r="BJ265" s="363"/>
      <c r="BK265" s="363"/>
      <c r="BL265" s="363"/>
      <c r="BM265" s="363"/>
      <c r="BN265" s="363"/>
      <c r="BO265" s="363"/>
      <c r="BP265" s="363"/>
      <c r="BQ265" s="363"/>
      <c r="BR265" s="363"/>
      <c r="BS265" s="363"/>
      <c r="BT265" s="363"/>
      <c r="BU265" s="363"/>
      <c r="BV265" s="363"/>
    </row>
    <row r="266" spans="2:74" x14ac:dyDescent="0.2">
      <c r="B266" s="86"/>
      <c r="C266" s="304"/>
      <c r="D266" s="304"/>
      <c r="E266" s="362"/>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c r="AS266" s="363"/>
      <c r="AT266" s="363"/>
      <c r="AU266" s="363"/>
      <c r="AV266" s="363"/>
      <c r="AW266" s="363"/>
      <c r="AX266" s="363"/>
      <c r="AY266" s="363"/>
      <c r="AZ266" s="363"/>
      <c r="BA266" s="363"/>
      <c r="BB266" s="363"/>
      <c r="BC266" s="363"/>
      <c r="BD266" s="363"/>
      <c r="BE266" s="363"/>
      <c r="BF266" s="363"/>
      <c r="BG266" s="363"/>
      <c r="BH266" s="363"/>
      <c r="BI266" s="363"/>
      <c r="BJ266" s="363"/>
      <c r="BK266" s="363"/>
      <c r="BL266" s="363"/>
      <c r="BM266" s="363"/>
      <c r="BN266" s="363"/>
      <c r="BO266" s="363"/>
      <c r="BP266" s="363"/>
      <c r="BQ266" s="363"/>
      <c r="BR266" s="363"/>
      <c r="BS266" s="363"/>
      <c r="BT266" s="363"/>
      <c r="BU266" s="363"/>
      <c r="BV266" s="363"/>
    </row>
    <row r="267" spans="2:74" x14ac:dyDescent="0.2">
      <c r="B267" s="86"/>
      <c r="C267" s="304"/>
      <c r="D267" s="304"/>
      <c r="E267" s="362"/>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c r="AS267" s="363"/>
      <c r="AT267" s="363"/>
      <c r="AU267" s="363"/>
      <c r="AV267" s="363"/>
      <c r="AW267" s="363"/>
      <c r="AX267" s="363"/>
      <c r="AY267" s="363"/>
      <c r="AZ267" s="363"/>
      <c r="BA267" s="363"/>
      <c r="BB267" s="363"/>
      <c r="BC267" s="363"/>
      <c r="BD267" s="363"/>
      <c r="BE267" s="363"/>
      <c r="BF267" s="363"/>
      <c r="BG267" s="363"/>
      <c r="BH267" s="363"/>
      <c r="BI267" s="363"/>
      <c r="BJ267" s="363"/>
      <c r="BK267" s="363"/>
      <c r="BL267" s="363"/>
      <c r="BM267" s="363"/>
      <c r="BN267" s="363"/>
      <c r="BO267" s="363"/>
      <c r="BP267" s="363"/>
      <c r="BQ267" s="363"/>
      <c r="BR267" s="363"/>
      <c r="BS267" s="363"/>
      <c r="BT267" s="363"/>
      <c r="BU267" s="363"/>
      <c r="BV267" s="363"/>
    </row>
    <row r="268" spans="2:74" x14ac:dyDescent="0.2">
      <c r="B268" s="86"/>
      <c r="C268" s="304"/>
      <c r="D268" s="304"/>
      <c r="E268" s="362"/>
      <c r="F268" s="363"/>
      <c r="G268" s="363"/>
      <c r="H268" s="363"/>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c r="AS268" s="363"/>
      <c r="AT268" s="363"/>
      <c r="AU268" s="363"/>
      <c r="AV268" s="363"/>
      <c r="AW268" s="363"/>
      <c r="AX268" s="363"/>
      <c r="AY268" s="363"/>
      <c r="AZ268" s="363"/>
      <c r="BA268" s="363"/>
      <c r="BB268" s="363"/>
      <c r="BC268" s="363"/>
      <c r="BD268" s="363"/>
      <c r="BE268" s="363"/>
      <c r="BF268" s="363"/>
      <c r="BG268" s="363"/>
      <c r="BH268" s="363"/>
      <c r="BI268" s="363"/>
      <c r="BJ268" s="363"/>
      <c r="BK268" s="363"/>
      <c r="BL268" s="363"/>
      <c r="BM268" s="363"/>
      <c r="BN268" s="363"/>
      <c r="BO268" s="363"/>
      <c r="BP268" s="363"/>
      <c r="BQ268" s="363"/>
      <c r="BR268" s="363"/>
      <c r="BS268" s="363"/>
      <c r="BT268" s="363"/>
      <c r="BU268" s="363"/>
      <c r="BV268" s="363"/>
    </row>
    <row r="269" spans="2:74" x14ac:dyDescent="0.2">
      <c r="B269" s="86"/>
      <c r="C269" s="304"/>
      <c r="D269" s="304"/>
      <c r="E269" s="362"/>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3"/>
      <c r="AT269" s="363"/>
      <c r="AU269" s="363"/>
      <c r="AV269" s="363"/>
      <c r="AW269" s="363"/>
      <c r="AX269" s="363"/>
      <c r="AY269" s="363"/>
      <c r="AZ269" s="363"/>
      <c r="BA269" s="363"/>
      <c r="BB269" s="363"/>
      <c r="BC269" s="363"/>
      <c r="BD269" s="363"/>
      <c r="BE269" s="363"/>
      <c r="BF269" s="363"/>
      <c r="BG269" s="363"/>
      <c r="BH269" s="363"/>
      <c r="BI269" s="363"/>
      <c r="BJ269" s="363"/>
      <c r="BK269" s="363"/>
      <c r="BL269" s="363"/>
      <c r="BM269" s="363"/>
      <c r="BN269" s="363"/>
      <c r="BO269" s="363"/>
      <c r="BP269" s="363"/>
      <c r="BQ269" s="363"/>
      <c r="BR269" s="363"/>
      <c r="BS269" s="363"/>
      <c r="BT269" s="363"/>
      <c r="BU269" s="363"/>
      <c r="BV269" s="363"/>
    </row>
    <row r="270" spans="2:74" x14ac:dyDescent="0.2">
      <c r="B270" s="86"/>
      <c r="C270" s="304"/>
      <c r="D270" s="304"/>
      <c r="E270" s="362"/>
      <c r="F270" s="363"/>
      <c r="G270" s="363"/>
      <c r="H270" s="363"/>
      <c r="I270" s="363"/>
      <c r="J270" s="363"/>
      <c r="K270" s="363"/>
      <c r="L270" s="363"/>
      <c r="M270" s="363"/>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3"/>
      <c r="BH270" s="363"/>
      <c r="BI270" s="363"/>
      <c r="BJ270" s="363"/>
      <c r="BK270" s="363"/>
      <c r="BL270" s="363"/>
      <c r="BM270" s="363"/>
      <c r="BN270" s="363"/>
      <c r="BO270" s="363"/>
      <c r="BP270" s="363"/>
      <c r="BQ270" s="363"/>
      <c r="BR270" s="363"/>
      <c r="BS270" s="363"/>
      <c r="BT270" s="363"/>
      <c r="BU270" s="363"/>
      <c r="BV270" s="363"/>
    </row>
    <row r="271" spans="2:74" x14ac:dyDescent="0.2">
      <c r="B271" s="86"/>
      <c r="C271" s="304"/>
      <c r="D271" s="304"/>
      <c r="E271" s="362"/>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3"/>
      <c r="AU271" s="363"/>
      <c r="AV271" s="363"/>
      <c r="AW271" s="363"/>
      <c r="AX271" s="363"/>
      <c r="AY271" s="363"/>
      <c r="AZ271" s="363"/>
      <c r="BA271" s="363"/>
      <c r="BB271" s="363"/>
      <c r="BC271" s="363"/>
      <c r="BD271" s="363"/>
      <c r="BE271" s="363"/>
      <c r="BF271" s="363"/>
      <c r="BG271" s="363"/>
      <c r="BH271" s="363"/>
      <c r="BI271" s="363"/>
      <c r="BJ271" s="363"/>
      <c r="BK271" s="363"/>
      <c r="BL271" s="363"/>
      <c r="BM271" s="363"/>
      <c r="BN271" s="363"/>
      <c r="BO271" s="363"/>
      <c r="BP271" s="363"/>
      <c r="BQ271" s="363"/>
      <c r="BR271" s="363"/>
      <c r="BS271" s="363"/>
      <c r="BT271" s="363"/>
      <c r="BU271" s="363"/>
      <c r="BV271" s="363"/>
    </row>
    <row r="272" spans="2:74" x14ac:dyDescent="0.2">
      <c r="B272" s="86"/>
      <c r="C272" s="304"/>
      <c r="D272" s="304"/>
      <c r="E272" s="362"/>
      <c r="F272" s="363"/>
      <c r="G272" s="363"/>
      <c r="H272" s="363"/>
      <c r="I272" s="363"/>
      <c r="J272" s="363"/>
      <c r="K272" s="363"/>
      <c r="L272" s="363"/>
      <c r="M272" s="363"/>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c r="AS272" s="363"/>
      <c r="AT272" s="363"/>
      <c r="AU272" s="363"/>
      <c r="AV272" s="363"/>
      <c r="AW272" s="363"/>
      <c r="AX272" s="363"/>
      <c r="AY272" s="363"/>
      <c r="AZ272" s="363"/>
      <c r="BA272" s="363"/>
      <c r="BB272" s="363"/>
      <c r="BC272" s="363"/>
      <c r="BD272" s="363"/>
      <c r="BE272" s="363"/>
      <c r="BF272" s="363"/>
      <c r="BG272" s="363"/>
      <c r="BH272" s="363"/>
      <c r="BI272" s="363"/>
      <c r="BJ272" s="363"/>
      <c r="BK272" s="363"/>
      <c r="BL272" s="363"/>
      <c r="BM272" s="363"/>
      <c r="BN272" s="363"/>
      <c r="BO272" s="363"/>
      <c r="BP272" s="363"/>
      <c r="BQ272" s="363"/>
      <c r="BR272" s="363"/>
      <c r="BS272" s="363"/>
      <c r="BT272" s="363"/>
      <c r="BU272" s="363"/>
      <c r="BV272" s="363"/>
    </row>
    <row r="273" spans="2:74" x14ac:dyDescent="0.2">
      <c r="B273" s="86"/>
      <c r="C273" s="86"/>
      <c r="D273" s="86"/>
      <c r="E273" s="362"/>
      <c r="F273" s="363"/>
      <c r="G273" s="363"/>
      <c r="H273" s="363"/>
      <c r="I273" s="363"/>
      <c r="J273" s="363"/>
      <c r="K273" s="363"/>
      <c r="L273" s="363"/>
      <c r="M273" s="363"/>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c r="AS273" s="363"/>
      <c r="AT273" s="363"/>
      <c r="AU273" s="363"/>
      <c r="AV273" s="363"/>
      <c r="AW273" s="363"/>
      <c r="AX273" s="363"/>
      <c r="AY273" s="363"/>
      <c r="AZ273" s="363"/>
      <c r="BA273" s="363"/>
      <c r="BB273" s="363"/>
      <c r="BC273" s="363"/>
      <c r="BD273" s="363"/>
      <c r="BE273" s="363"/>
      <c r="BF273" s="363"/>
      <c r="BG273" s="363"/>
      <c r="BH273" s="363"/>
      <c r="BI273" s="363"/>
      <c r="BJ273" s="363"/>
      <c r="BK273" s="363"/>
      <c r="BL273" s="363"/>
      <c r="BM273" s="363"/>
      <c r="BN273" s="363"/>
      <c r="BO273" s="363"/>
      <c r="BP273" s="363"/>
      <c r="BQ273" s="363"/>
      <c r="BR273" s="363"/>
      <c r="BS273" s="363"/>
      <c r="BT273" s="363"/>
      <c r="BU273" s="363"/>
      <c r="BV273" s="363"/>
    </row>
    <row r="274" spans="2:74" x14ac:dyDescent="0.2">
      <c r="B274" s="86"/>
      <c r="C274" s="304"/>
      <c r="D274" s="304"/>
      <c r="E274" s="362"/>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3"/>
      <c r="AW274" s="363"/>
      <c r="AX274" s="363"/>
      <c r="AY274" s="363"/>
      <c r="AZ274" s="363"/>
      <c r="BA274" s="363"/>
      <c r="BB274" s="363"/>
      <c r="BC274" s="363"/>
      <c r="BD274" s="363"/>
      <c r="BE274" s="363"/>
      <c r="BF274" s="363"/>
      <c r="BG274" s="363"/>
      <c r="BH274" s="363"/>
      <c r="BI274" s="363"/>
      <c r="BJ274" s="363"/>
      <c r="BK274" s="363"/>
      <c r="BL274" s="363"/>
      <c r="BM274" s="363"/>
      <c r="BN274" s="363"/>
      <c r="BO274" s="363"/>
      <c r="BP274" s="363"/>
      <c r="BQ274" s="363"/>
      <c r="BR274" s="363"/>
      <c r="BS274" s="363"/>
      <c r="BT274" s="363"/>
      <c r="BU274" s="363"/>
      <c r="BV274" s="363"/>
    </row>
    <row r="275" spans="2:74" x14ac:dyDescent="0.2">
      <c r="B275" s="86"/>
      <c r="C275" s="304"/>
      <c r="D275" s="304"/>
      <c r="E275" s="362"/>
      <c r="F275" s="363"/>
      <c r="G275" s="363"/>
      <c r="H275" s="363"/>
      <c r="I275" s="363"/>
      <c r="J275" s="363"/>
      <c r="K275" s="363"/>
      <c r="L275" s="363"/>
      <c r="M275" s="363"/>
      <c r="N275" s="363"/>
      <c r="O275" s="363"/>
      <c r="P275" s="363"/>
      <c r="Q275" s="363"/>
      <c r="R275" s="363"/>
      <c r="S275" s="363"/>
      <c r="T275" s="363"/>
      <c r="U275" s="363"/>
      <c r="V275" s="363"/>
      <c r="W275" s="363"/>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c r="AS275" s="363"/>
      <c r="AT275" s="363"/>
      <c r="AU275" s="363"/>
      <c r="AV275" s="363"/>
      <c r="AW275" s="363"/>
      <c r="AX275" s="363"/>
      <c r="AY275" s="363"/>
      <c r="AZ275" s="363"/>
      <c r="BA275" s="363"/>
      <c r="BB275" s="363"/>
      <c r="BC275" s="363"/>
      <c r="BD275" s="363"/>
      <c r="BE275" s="363"/>
      <c r="BF275" s="363"/>
      <c r="BG275" s="363"/>
      <c r="BH275" s="363"/>
      <c r="BI275" s="363"/>
      <c r="BJ275" s="363"/>
      <c r="BK275" s="363"/>
      <c r="BL275" s="363"/>
      <c r="BM275" s="363"/>
      <c r="BN275" s="363"/>
      <c r="BO275" s="363"/>
      <c r="BP275" s="363"/>
      <c r="BQ275" s="363"/>
      <c r="BR275" s="363"/>
      <c r="BS275" s="363"/>
      <c r="BT275" s="363"/>
      <c r="BU275" s="363"/>
      <c r="BV275" s="363"/>
    </row>
    <row r="276" spans="2:74" x14ac:dyDescent="0.2">
      <c r="B276" s="86"/>
      <c r="C276" s="304"/>
      <c r="D276" s="304"/>
      <c r="E276" s="362"/>
      <c r="F276" s="363"/>
      <c r="G276" s="363"/>
      <c r="H276" s="363"/>
      <c r="I276" s="363"/>
      <c r="J276" s="363"/>
      <c r="K276" s="363"/>
      <c r="L276" s="363"/>
      <c r="M276" s="363"/>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c r="AS276" s="363"/>
      <c r="AT276" s="363"/>
      <c r="AU276" s="363"/>
      <c r="AV276" s="363"/>
      <c r="AW276" s="363"/>
      <c r="AX276" s="363"/>
      <c r="AY276" s="363"/>
      <c r="AZ276" s="363"/>
      <c r="BA276" s="363"/>
      <c r="BB276" s="363"/>
      <c r="BC276" s="363"/>
      <c r="BD276" s="363"/>
      <c r="BE276" s="363"/>
      <c r="BF276" s="363"/>
      <c r="BG276" s="363"/>
      <c r="BH276" s="363"/>
      <c r="BI276" s="363"/>
      <c r="BJ276" s="363"/>
      <c r="BK276" s="363"/>
      <c r="BL276" s="363"/>
      <c r="BM276" s="363"/>
      <c r="BN276" s="363"/>
      <c r="BO276" s="363"/>
      <c r="BP276" s="363"/>
      <c r="BQ276" s="363"/>
      <c r="BR276" s="363"/>
      <c r="BS276" s="363"/>
      <c r="BT276" s="363"/>
      <c r="BU276" s="363"/>
      <c r="BV276" s="363"/>
    </row>
    <row r="277" spans="2:74" x14ac:dyDescent="0.2">
      <c r="B277" s="86"/>
      <c r="C277" s="304"/>
      <c r="D277" s="304"/>
      <c r="E277" s="362"/>
      <c r="F277" s="363"/>
      <c r="G277" s="363"/>
      <c r="H277" s="363"/>
      <c r="I277" s="363"/>
      <c r="J277" s="363"/>
      <c r="K277" s="363"/>
      <c r="L277" s="363"/>
      <c r="M277" s="363"/>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3"/>
      <c r="AT277" s="363"/>
      <c r="AU277" s="363"/>
      <c r="AV277" s="363"/>
      <c r="AW277" s="363"/>
      <c r="AX277" s="363"/>
      <c r="AY277" s="363"/>
      <c r="AZ277" s="363"/>
      <c r="BA277" s="363"/>
      <c r="BB277" s="363"/>
      <c r="BC277" s="363"/>
      <c r="BD277" s="363"/>
      <c r="BE277" s="363"/>
      <c r="BF277" s="363"/>
      <c r="BG277" s="363"/>
      <c r="BH277" s="363"/>
      <c r="BI277" s="363"/>
      <c r="BJ277" s="363"/>
      <c r="BK277" s="363"/>
      <c r="BL277" s="363"/>
      <c r="BM277" s="363"/>
      <c r="BN277" s="363"/>
      <c r="BO277" s="363"/>
      <c r="BP277" s="363"/>
      <c r="BQ277" s="363"/>
      <c r="BR277" s="363"/>
      <c r="BS277" s="363"/>
      <c r="BT277" s="363"/>
      <c r="BU277" s="363"/>
      <c r="BV277" s="363"/>
    </row>
    <row r="278" spans="2:74" x14ac:dyDescent="0.2">
      <c r="B278" s="86"/>
      <c r="C278" s="304"/>
      <c r="D278" s="304"/>
      <c r="E278" s="362"/>
      <c r="F278" s="363"/>
      <c r="G278" s="363"/>
      <c r="H278" s="363"/>
      <c r="I278" s="363"/>
      <c r="J278" s="363"/>
      <c r="K278" s="363"/>
      <c r="L278" s="363"/>
      <c r="M278" s="363"/>
      <c r="N278" s="363"/>
      <c r="O278" s="363"/>
      <c r="P278" s="363"/>
      <c r="Q278" s="363"/>
      <c r="R278" s="363"/>
      <c r="S278" s="363"/>
      <c r="T278" s="363"/>
      <c r="U278" s="363"/>
      <c r="V278" s="363"/>
      <c r="W278" s="363"/>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c r="AS278" s="363"/>
      <c r="AT278" s="363"/>
      <c r="AU278" s="363"/>
      <c r="AV278" s="363"/>
      <c r="AW278" s="363"/>
      <c r="AX278" s="363"/>
      <c r="AY278" s="363"/>
      <c r="AZ278" s="363"/>
      <c r="BA278" s="363"/>
      <c r="BB278" s="363"/>
      <c r="BC278" s="363"/>
      <c r="BD278" s="363"/>
      <c r="BE278" s="363"/>
      <c r="BF278" s="363"/>
      <c r="BG278" s="363"/>
      <c r="BH278" s="363"/>
      <c r="BI278" s="363"/>
      <c r="BJ278" s="363"/>
      <c r="BK278" s="363"/>
      <c r="BL278" s="363"/>
      <c r="BM278" s="363"/>
      <c r="BN278" s="363"/>
      <c r="BO278" s="363"/>
      <c r="BP278" s="363"/>
      <c r="BQ278" s="363"/>
      <c r="BR278" s="363"/>
      <c r="BS278" s="363"/>
      <c r="BT278" s="363"/>
      <c r="BU278" s="363"/>
      <c r="BV278" s="363"/>
    </row>
    <row r="279" spans="2:74" x14ac:dyDescent="0.2">
      <c r="B279" s="86"/>
      <c r="C279" s="304"/>
      <c r="D279" s="304"/>
      <c r="E279" s="362"/>
      <c r="F279" s="363"/>
      <c r="G279" s="363"/>
      <c r="H279" s="363"/>
      <c r="I279" s="363"/>
      <c r="J279" s="363"/>
      <c r="K279" s="363"/>
      <c r="L279" s="363"/>
      <c r="M279" s="363"/>
      <c r="N279" s="363"/>
      <c r="O279" s="363"/>
      <c r="P279" s="363"/>
      <c r="Q279" s="363"/>
      <c r="R279" s="363"/>
      <c r="S279" s="363"/>
      <c r="T279" s="363"/>
      <c r="U279" s="363"/>
      <c r="V279" s="363"/>
      <c r="W279" s="363"/>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c r="AS279" s="363"/>
      <c r="AT279" s="363"/>
      <c r="AU279" s="363"/>
      <c r="AV279" s="363"/>
      <c r="AW279" s="363"/>
      <c r="AX279" s="363"/>
      <c r="AY279" s="363"/>
      <c r="AZ279" s="363"/>
      <c r="BA279" s="363"/>
      <c r="BB279" s="363"/>
      <c r="BC279" s="363"/>
      <c r="BD279" s="363"/>
      <c r="BE279" s="363"/>
      <c r="BF279" s="363"/>
      <c r="BG279" s="363"/>
      <c r="BH279" s="363"/>
      <c r="BI279" s="363"/>
      <c r="BJ279" s="363"/>
      <c r="BK279" s="363"/>
      <c r="BL279" s="363"/>
      <c r="BM279" s="363"/>
      <c r="BN279" s="363"/>
      <c r="BO279" s="363"/>
      <c r="BP279" s="363"/>
      <c r="BQ279" s="363"/>
      <c r="BR279" s="363"/>
      <c r="BS279" s="363"/>
      <c r="BT279" s="363"/>
      <c r="BU279" s="363"/>
      <c r="BV279" s="363"/>
    </row>
    <row r="280" spans="2:74" x14ac:dyDescent="0.2">
      <c r="B280" s="86"/>
      <c r="C280" s="304"/>
      <c r="D280" s="304"/>
      <c r="E280" s="362"/>
      <c r="F280" s="363"/>
      <c r="G280" s="363"/>
      <c r="H280" s="363"/>
      <c r="I280" s="363"/>
      <c r="J280" s="363"/>
      <c r="K280" s="363"/>
      <c r="L280" s="363"/>
      <c r="M280" s="363"/>
      <c r="N280" s="363"/>
      <c r="O280" s="363"/>
      <c r="P280" s="363"/>
      <c r="Q280" s="363"/>
      <c r="R280" s="363"/>
      <c r="S280" s="363"/>
      <c r="T280" s="363"/>
      <c r="U280" s="363"/>
      <c r="V280" s="363"/>
      <c r="W280" s="363"/>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c r="AS280" s="363"/>
      <c r="AT280" s="363"/>
      <c r="AU280" s="363"/>
      <c r="AV280" s="363"/>
      <c r="AW280" s="363"/>
      <c r="AX280" s="363"/>
      <c r="AY280" s="363"/>
      <c r="AZ280" s="363"/>
      <c r="BA280" s="363"/>
      <c r="BB280" s="363"/>
      <c r="BC280" s="363"/>
      <c r="BD280" s="363"/>
      <c r="BE280" s="363"/>
      <c r="BF280" s="363"/>
      <c r="BG280" s="363"/>
      <c r="BH280" s="363"/>
      <c r="BI280" s="363"/>
      <c r="BJ280" s="363"/>
      <c r="BK280" s="363"/>
      <c r="BL280" s="363"/>
      <c r="BM280" s="363"/>
      <c r="BN280" s="363"/>
      <c r="BO280" s="363"/>
      <c r="BP280" s="363"/>
      <c r="BQ280" s="363"/>
      <c r="BR280" s="363"/>
      <c r="BS280" s="363"/>
      <c r="BT280" s="363"/>
      <c r="BU280" s="363"/>
      <c r="BV280" s="363"/>
    </row>
    <row r="281" spans="2:74" x14ac:dyDescent="0.2">
      <c r="B281" s="86"/>
      <c r="C281" s="304"/>
      <c r="D281" s="304"/>
      <c r="E281" s="362"/>
      <c r="F281" s="363"/>
      <c r="G281" s="363"/>
      <c r="H281" s="363"/>
      <c r="I281" s="363"/>
      <c r="J281" s="363"/>
      <c r="K281" s="363"/>
      <c r="L281" s="363"/>
      <c r="M281" s="363"/>
      <c r="N281" s="363"/>
      <c r="O281" s="363"/>
      <c r="P281" s="363"/>
      <c r="Q281" s="363"/>
      <c r="R281" s="363"/>
      <c r="S281" s="363"/>
      <c r="T281" s="363"/>
      <c r="U281" s="363"/>
      <c r="V281" s="363"/>
      <c r="W281" s="363"/>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c r="AS281" s="363"/>
      <c r="AT281" s="363"/>
      <c r="AU281" s="363"/>
      <c r="AV281" s="363"/>
      <c r="AW281" s="363"/>
      <c r="AX281" s="363"/>
      <c r="AY281" s="363"/>
      <c r="AZ281" s="363"/>
      <c r="BA281" s="363"/>
      <c r="BB281" s="363"/>
      <c r="BC281" s="363"/>
      <c r="BD281" s="363"/>
      <c r="BE281" s="363"/>
      <c r="BF281" s="363"/>
      <c r="BG281" s="363"/>
      <c r="BH281" s="363"/>
      <c r="BI281" s="363"/>
      <c r="BJ281" s="363"/>
      <c r="BK281" s="363"/>
      <c r="BL281" s="363"/>
      <c r="BM281" s="363"/>
      <c r="BN281" s="363"/>
      <c r="BO281" s="363"/>
      <c r="BP281" s="363"/>
      <c r="BQ281" s="363"/>
      <c r="BR281" s="363"/>
      <c r="BS281" s="363"/>
      <c r="BT281" s="363"/>
      <c r="BU281" s="363"/>
      <c r="BV281" s="363"/>
    </row>
    <row r="282" spans="2:74" x14ac:dyDescent="0.2">
      <c r="B282" s="86"/>
      <c r="C282" s="304"/>
      <c r="D282" s="304"/>
      <c r="E282" s="362"/>
      <c r="F282" s="363"/>
      <c r="G282" s="363"/>
      <c r="H282" s="363"/>
      <c r="I282" s="363"/>
      <c r="J282" s="363"/>
      <c r="K282" s="363"/>
      <c r="L282" s="363"/>
      <c r="M282" s="363"/>
      <c r="N282" s="363"/>
      <c r="O282" s="363"/>
      <c r="P282" s="363"/>
      <c r="Q282" s="363"/>
      <c r="R282" s="363"/>
      <c r="S282" s="363"/>
      <c r="T282" s="363"/>
      <c r="U282" s="363"/>
      <c r="V282" s="363"/>
      <c r="W282" s="363"/>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c r="AS282" s="363"/>
      <c r="AT282" s="363"/>
      <c r="AU282" s="363"/>
      <c r="AV282" s="363"/>
      <c r="AW282" s="363"/>
      <c r="AX282" s="363"/>
      <c r="AY282" s="363"/>
      <c r="AZ282" s="363"/>
      <c r="BA282" s="363"/>
      <c r="BB282" s="363"/>
      <c r="BC282" s="363"/>
      <c r="BD282" s="363"/>
      <c r="BE282" s="363"/>
      <c r="BF282" s="363"/>
      <c r="BG282" s="363"/>
      <c r="BH282" s="363"/>
      <c r="BI282" s="363"/>
      <c r="BJ282" s="363"/>
      <c r="BK282" s="363"/>
      <c r="BL282" s="363"/>
      <c r="BM282" s="363"/>
      <c r="BN282" s="363"/>
      <c r="BO282" s="363"/>
      <c r="BP282" s="363"/>
      <c r="BQ282" s="363"/>
      <c r="BR282" s="363"/>
      <c r="BS282" s="363"/>
      <c r="BT282" s="363"/>
      <c r="BU282" s="363"/>
      <c r="BV282" s="363"/>
    </row>
    <row r="283" spans="2:74" x14ac:dyDescent="0.2">
      <c r="B283" s="86"/>
      <c r="C283" s="304"/>
      <c r="D283" s="304"/>
      <c r="E283" s="362"/>
      <c r="F283" s="363"/>
      <c r="G283" s="363"/>
      <c r="H283" s="363"/>
      <c r="I283" s="363"/>
      <c r="J283" s="363"/>
      <c r="K283" s="363"/>
      <c r="L283" s="363"/>
      <c r="M283" s="363"/>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3"/>
      <c r="AT283" s="363"/>
      <c r="AU283" s="363"/>
      <c r="AV283" s="363"/>
      <c r="AW283" s="363"/>
      <c r="AX283" s="363"/>
      <c r="AY283" s="363"/>
      <c r="AZ283" s="363"/>
      <c r="BA283" s="363"/>
      <c r="BB283" s="363"/>
      <c r="BC283" s="363"/>
      <c r="BD283" s="363"/>
      <c r="BE283" s="363"/>
      <c r="BF283" s="363"/>
      <c r="BG283" s="363"/>
      <c r="BH283" s="363"/>
      <c r="BI283" s="363"/>
      <c r="BJ283" s="363"/>
      <c r="BK283" s="363"/>
      <c r="BL283" s="363"/>
      <c r="BM283" s="363"/>
      <c r="BN283" s="363"/>
      <c r="BO283" s="363"/>
      <c r="BP283" s="363"/>
      <c r="BQ283" s="363"/>
      <c r="BR283" s="363"/>
      <c r="BS283" s="363"/>
      <c r="BT283" s="363"/>
      <c r="BU283" s="363"/>
      <c r="BV283" s="363"/>
    </row>
    <row r="284" spans="2:74" x14ac:dyDescent="0.2">
      <c r="B284" s="86"/>
      <c r="C284" s="304"/>
      <c r="D284" s="304"/>
      <c r="E284" s="362"/>
      <c r="F284" s="363"/>
      <c r="G284" s="363"/>
      <c r="H284" s="363"/>
      <c r="I284" s="363"/>
      <c r="J284" s="363"/>
      <c r="K284" s="363"/>
      <c r="L284" s="363"/>
      <c r="M284" s="363"/>
      <c r="N284" s="363"/>
      <c r="O284" s="363"/>
      <c r="P284" s="363"/>
      <c r="Q284" s="363"/>
      <c r="R284" s="363"/>
      <c r="S284" s="363"/>
      <c r="T284" s="363"/>
      <c r="U284" s="363"/>
      <c r="V284" s="363"/>
      <c r="W284" s="363"/>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c r="AS284" s="363"/>
      <c r="AT284" s="363"/>
      <c r="AU284" s="363"/>
      <c r="AV284" s="363"/>
      <c r="AW284" s="363"/>
      <c r="AX284" s="363"/>
      <c r="AY284" s="363"/>
      <c r="AZ284" s="363"/>
      <c r="BA284" s="363"/>
      <c r="BB284" s="363"/>
      <c r="BC284" s="363"/>
      <c r="BD284" s="363"/>
      <c r="BE284" s="363"/>
      <c r="BF284" s="363"/>
      <c r="BG284" s="363"/>
      <c r="BH284" s="363"/>
      <c r="BI284" s="363"/>
      <c r="BJ284" s="363"/>
      <c r="BK284" s="363"/>
      <c r="BL284" s="363"/>
      <c r="BM284" s="363"/>
      <c r="BN284" s="363"/>
      <c r="BO284" s="363"/>
      <c r="BP284" s="363"/>
      <c r="BQ284" s="363"/>
      <c r="BR284" s="363"/>
      <c r="BS284" s="363"/>
      <c r="BT284" s="363"/>
      <c r="BU284" s="363"/>
      <c r="BV284" s="363"/>
    </row>
    <row r="285" spans="2:74" x14ac:dyDescent="0.2">
      <c r="B285" s="86"/>
      <c r="C285" s="304"/>
      <c r="D285" s="304"/>
      <c r="E285" s="362"/>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363"/>
      <c r="BM285" s="363"/>
      <c r="BN285" s="363"/>
      <c r="BO285" s="363"/>
      <c r="BP285" s="363"/>
      <c r="BQ285" s="363"/>
      <c r="BR285" s="363"/>
      <c r="BS285" s="363"/>
      <c r="BT285" s="363"/>
      <c r="BU285" s="363"/>
      <c r="BV285" s="363"/>
    </row>
    <row r="286" spans="2:74" x14ac:dyDescent="0.2">
      <c r="B286" s="86"/>
      <c r="C286" s="86"/>
      <c r="D286" s="86"/>
      <c r="E286" s="362"/>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363"/>
      <c r="BM286" s="363"/>
      <c r="BN286" s="363"/>
      <c r="BO286" s="363"/>
      <c r="BP286" s="363"/>
      <c r="BQ286" s="363"/>
      <c r="BR286" s="363"/>
      <c r="BS286" s="363"/>
      <c r="BT286" s="363"/>
      <c r="BU286" s="363"/>
      <c r="BV286" s="363"/>
    </row>
    <row r="287" spans="2:74" x14ac:dyDescent="0.2">
      <c r="B287" s="86"/>
      <c r="C287" s="86"/>
      <c r="D287" s="86"/>
      <c r="E287" s="362"/>
      <c r="F287" s="363"/>
      <c r="G287" s="363"/>
      <c r="H287" s="363"/>
      <c r="I287" s="363"/>
      <c r="J287" s="363"/>
      <c r="K287" s="363"/>
      <c r="L287" s="363"/>
      <c r="M287" s="363"/>
      <c r="N287" s="363"/>
      <c r="O287" s="363"/>
      <c r="P287" s="363"/>
      <c r="Q287" s="363"/>
      <c r="R287" s="363"/>
      <c r="S287" s="363"/>
      <c r="T287" s="363"/>
      <c r="U287" s="363"/>
      <c r="V287" s="363"/>
      <c r="W287" s="363"/>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c r="AS287" s="363"/>
      <c r="AT287" s="363"/>
      <c r="AU287" s="363"/>
      <c r="AV287" s="363"/>
      <c r="AW287" s="363"/>
      <c r="AX287" s="363"/>
      <c r="AY287" s="363"/>
      <c r="AZ287" s="363"/>
      <c r="BA287" s="363"/>
      <c r="BB287" s="363"/>
      <c r="BC287" s="363"/>
      <c r="BD287" s="363"/>
      <c r="BE287" s="363"/>
      <c r="BF287" s="363"/>
      <c r="BG287" s="363"/>
      <c r="BH287" s="363"/>
      <c r="BI287" s="363"/>
      <c r="BJ287" s="363"/>
      <c r="BK287" s="363"/>
      <c r="BL287" s="363"/>
      <c r="BM287" s="363"/>
      <c r="BN287" s="363"/>
      <c r="BO287" s="363"/>
      <c r="BP287" s="363"/>
      <c r="BQ287" s="363"/>
      <c r="BR287" s="363"/>
      <c r="BS287" s="363"/>
      <c r="BT287" s="363"/>
      <c r="BU287" s="363"/>
      <c r="BV287" s="363"/>
    </row>
    <row r="288" spans="2:74" x14ac:dyDescent="0.2">
      <c r="B288" s="86"/>
      <c r="C288" s="304"/>
      <c r="D288" s="304"/>
      <c r="E288" s="362"/>
      <c r="F288" s="363"/>
      <c r="G288" s="363"/>
      <c r="H288" s="363"/>
      <c r="I288" s="363"/>
      <c r="J288" s="363"/>
      <c r="K288" s="363"/>
      <c r="L288" s="363"/>
      <c r="M288" s="363"/>
      <c r="N288" s="363"/>
      <c r="O288" s="363"/>
      <c r="P288" s="363"/>
      <c r="Q288" s="363"/>
      <c r="R288" s="363"/>
      <c r="S288" s="363"/>
      <c r="T288" s="363"/>
      <c r="U288" s="363"/>
      <c r="V288" s="363"/>
      <c r="W288" s="363"/>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c r="AS288" s="363"/>
      <c r="AT288" s="363"/>
      <c r="AU288" s="363"/>
      <c r="AV288" s="363"/>
      <c r="AW288" s="363"/>
      <c r="AX288" s="363"/>
      <c r="AY288" s="363"/>
      <c r="AZ288" s="363"/>
      <c r="BA288" s="363"/>
      <c r="BB288" s="363"/>
      <c r="BC288" s="363"/>
      <c r="BD288" s="363"/>
      <c r="BE288" s="363"/>
      <c r="BF288" s="363"/>
      <c r="BG288" s="363"/>
      <c r="BH288" s="363"/>
      <c r="BI288" s="363"/>
      <c r="BJ288" s="363"/>
      <c r="BK288" s="363"/>
      <c r="BL288" s="363"/>
      <c r="BM288" s="363"/>
      <c r="BN288" s="363"/>
      <c r="BO288" s="363"/>
      <c r="BP288" s="363"/>
      <c r="BQ288" s="363"/>
      <c r="BR288" s="363"/>
      <c r="BS288" s="363"/>
      <c r="BT288" s="363"/>
      <c r="BU288" s="363"/>
      <c r="BV288" s="363"/>
    </row>
    <row r="289" spans="2:74" x14ac:dyDescent="0.2">
      <c r="B289" s="86"/>
      <c r="C289" s="304"/>
      <c r="D289" s="304"/>
      <c r="E289" s="362"/>
      <c r="F289" s="363"/>
      <c r="G289" s="363"/>
      <c r="H289" s="363"/>
      <c r="I289" s="363"/>
      <c r="J289" s="363"/>
      <c r="K289" s="363"/>
      <c r="L289" s="363"/>
      <c r="M289" s="363"/>
      <c r="N289" s="363"/>
      <c r="O289" s="363"/>
      <c r="P289" s="363"/>
      <c r="Q289" s="363"/>
      <c r="R289" s="363"/>
      <c r="S289" s="363"/>
      <c r="T289" s="363"/>
      <c r="U289" s="363"/>
      <c r="V289" s="363"/>
      <c r="W289" s="363"/>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c r="AS289" s="363"/>
      <c r="AT289" s="363"/>
      <c r="AU289" s="363"/>
      <c r="AV289" s="363"/>
      <c r="AW289" s="363"/>
      <c r="AX289" s="363"/>
      <c r="AY289" s="363"/>
      <c r="AZ289" s="363"/>
      <c r="BA289" s="363"/>
      <c r="BB289" s="363"/>
      <c r="BC289" s="363"/>
      <c r="BD289" s="363"/>
      <c r="BE289" s="363"/>
      <c r="BF289" s="363"/>
      <c r="BG289" s="363"/>
      <c r="BH289" s="363"/>
      <c r="BI289" s="363"/>
      <c r="BJ289" s="363"/>
      <c r="BK289" s="363"/>
      <c r="BL289" s="363"/>
      <c r="BM289" s="363"/>
      <c r="BN289" s="363"/>
      <c r="BO289" s="363"/>
      <c r="BP289" s="363"/>
      <c r="BQ289" s="363"/>
      <c r="BR289" s="363"/>
      <c r="BS289" s="363"/>
      <c r="BT289" s="363"/>
      <c r="BU289" s="363"/>
      <c r="BV289" s="363"/>
    </row>
    <row r="290" spans="2:74" x14ac:dyDescent="0.2">
      <c r="B290" s="86"/>
      <c r="C290" s="304"/>
      <c r="D290" s="304"/>
      <c r="E290" s="362"/>
      <c r="F290" s="363"/>
      <c r="G290" s="363"/>
      <c r="H290" s="363"/>
      <c r="I290" s="363"/>
      <c r="J290" s="363"/>
      <c r="K290" s="363"/>
      <c r="L290" s="363"/>
      <c r="M290" s="363"/>
      <c r="N290" s="363"/>
      <c r="O290" s="363"/>
      <c r="P290" s="363"/>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c r="AS290" s="363"/>
      <c r="AT290" s="363"/>
      <c r="AU290" s="363"/>
      <c r="AV290" s="363"/>
      <c r="AW290" s="363"/>
      <c r="AX290" s="363"/>
      <c r="AY290" s="363"/>
      <c r="AZ290" s="363"/>
      <c r="BA290" s="363"/>
      <c r="BB290" s="363"/>
      <c r="BC290" s="363"/>
      <c r="BD290" s="363"/>
      <c r="BE290" s="363"/>
      <c r="BF290" s="363"/>
      <c r="BG290" s="363"/>
      <c r="BH290" s="363"/>
      <c r="BI290" s="363"/>
      <c r="BJ290" s="363"/>
      <c r="BK290" s="363"/>
      <c r="BL290" s="363"/>
      <c r="BM290" s="363"/>
      <c r="BN290" s="363"/>
      <c r="BO290" s="363"/>
      <c r="BP290" s="363"/>
      <c r="BQ290" s="363"/>
      <c r="BR290" s="363"/>
      <c r="BS290" s="363"/>
      <c r="BT290" s="363"/>
      <c r="BU290" s="363"/>
      <c r="BV290" s="363"/>
    </row>
    <row r="291" spans="2:74" x14ac:dyDescent="0.2">
      <c r="B291" s="280"/>
      <c r="D291" s="280"/>
      <c r="E291" s="280"/>
      <c r="F291" s="280"/>
      <c r="G291" s="280"/>
      <c r="H291" s="280"/>
      <c r="I291" s="280"/>
      <c r="J291" s="280"/>
      <c r="K291" s="280"/>
      <c r="L291" s="280"/>
      <c r="M291" s="280"/>
      <c r="N291" s="280"/>
      <c r="O291" s="280"/>
      <c r="P291" s="280"/>
      <c r="Q291" s="280"/>
      <c r="R291" s="280"/>
      <c r="S291" s="280"/>
      <c r="T291" s="280"/>
      <c r="U291" s="280"/>
      <c r="V291" s="280"/>
      <c r="W291" s="280"/>
      <c r="X291" s="280"/>
      <c r="Y291" s="280"/>
      <c r="Z291" s="280"/>
      <c r="AA291" s="280"/>
      <c r="AB291" s="280"/>
      <c r="AC291" s="280"/>
      <c r="AD291" s="280"/>
      <c r="AE291" s="280"/>
      <c r="AF291" s="280"/>
      <c r="AG291" s="280"/>
      <c r="AH291" s="280"/>
      <c r="AI291" s="280"/>
      <c r="AJ291" s="280"/>
      <c r="AK291" s="280"/>
      <c r="AL291" s="280"/>
      <c r="AM291" s="280"/>
      <c r="AN291" s="280"/>
      <c r="AO291" s="280"/>
      <c r="AP291" s="280"/>
      <c r="AQ291" s="280"/>
      <c r="AR291" s="280"/>
      <c r="AS291" s="280"/>
      <c r="AT291" s="280"/>
      <c r="AU291" s="280"/>
      <c r="AV291" s="280"/>
      <c r="AW291" s="280"/>
      <c r="AX291" s="280"/>
      <c r="AY291" s="280"/>
      <c r="AZ291" s="280"/>
      <c r="BA291" s="280"/>
      <c r="BB291" s="280"/>
      <c r="BC291" s="280"/>
      <c r="BD291" s="280"/>
      <c r="BE291" s="280"/>
      <c r="BF291" s="280"/>
      <c r="BG291" s="280"/>
      <c r="BH291" s="280"/>
      <c r="BI291" s="280"/>
      <c r="BJ291" s="280"/>
      <c r="BK291" s="280"/>
      <c r="BL291" s="280"/>
      <c r="BM291" s="280"/>
      <c r="BN291" s="280"/>
      <c r="BO291" s="280"/>
      <c r="BP291" s="280"/>
      <c r="BQ291" s="280"/>
      <c r="BR291" s="280"/>
      <c r="BS291" s="280"/>
      <c r="BT291" s="280"/>
      <c r="BU291" s="280"/>
      <c r="BV291" s="280"/>
    </row>
    <row r="292" spans="2:74" x14ac:dyDescent="0.2">
      <c r="B292" s="280"/>
      <c r="D292" s="280"/>
      <c r="E292" s="280"/>
      <c r="F292" s="280"/>
      <c r="G292" s="280"/>
      <c r="H292" s="280"/>
      <c r="I292" s="280"/>
      <c r="J292" s="280"/>
      <c r="K292" s="280"/>
      <c r="L292" s="280"/>
      <c r="M292" s="280"/>
      <c r="N292" s="280"/>
      <c r="O292" s="280"/>
      <c r="P292" s="280"/>
      <c r="Q292" s="280"/>
      <c r="R292" s="280"/>
      <c r="S292" s="280"/>
      <c r="T292" s="280"/>
      <c r="U292" s="280"/>
      <c r="V292" s="280"/>
      <c r="W292" s="280"/>
      <c r="X292" s="280"/>
      <c r="Y292" s="280"/>
      <c r="Z292" s="280"/>
      <c r="AA292" s="280"/>
      <c r="AB292" s="280"/>
      <c r="AC292" s="280"/>
      <c r="AD292" s="280"/>
      <c r="AE292" s="280"/>
      <c r="AF292" s="280"/>
      <c r="AG292" s="280"/>
      <c r="AH292" s="280"/>
      <c r="AI292" s="280"/>
      <c r="AJ292" s="280"/>
      <c r="AK292" s="280"/>
      <c r="AL292" s="280"/>
      <c r="AM292" s="280"/>
      <c r="AN292" s="280"/>
      <c r="AO292" s="280"/>
      <c r="AP292" s="280"/>
      <c r="AQ292" s="280"/>
      <c r="AR292" s="280"/>
      <c r="AS292" s="280"/>
      <c r="AT292" s="280"/>
      <c r="AU292" s="280"/>
      <c r="AV292" s="280"/>
      <c r="AW292" s="280"/>
      <c r="AX292" s="280"/>
      <c r="AY292" s="280"/>
      <c r="AZ292" s="280"/>
      <c r="BA292" s="280"/>
      <c r="BB292" s="280"/>
      <c r="BC292" s="280"/>
      <c r="BD292" s="280"/>
      <c r="BE292" s="280"/>
      <c r="BF292" s="280"/>
      <c r="BG292" s="280"/>
      <c r="BH292" s="280"/>
      <c r="BI292" s="280"/>
      <c r="BJ292" s="280"/>
      <c r="BK292" s="280"/>
      <c r="BL292" s="280"/>
      <c r="BM292" s="280"/>
      <c r="BN292" s="280"/>
      <c r="BO292" s="280"/>
      <c r="BP292" s="280"/>
      <c r="BQ292" s="280"/>
      <c r="BR292" s="280"/>
      <c r="BS292" s="280"/>
      <c r="BT292" s="280"/>
      <c r="BU292" s="280"/>
      <c r="BV292" s="280"/>
    </row>
    <row r="293" spans="2:74" x14ac:dyDescent="0.2">
      <c r="B293" s="280"/>
      <c r="D293" s="280"/>
      <c r="E293" s="280"/>
      <c r="F293" s="280"/>
      <c r="G293" s="280"/>
      <c r="H293" s="280"/>
      <c r="I293" s="280"/>
      <c r="J293" s="280"/>
      <c r="K293" s="280"/>
      <c r="L293" s="280"/>
      <c r="M293" s="280"/>
      <c r="N293" s="280"/>
      <c r="O293" s="280"/>
      <c r="P293" s="280"/>
      <c r="Q293" s="280"/>
      <c r="R293" s="280"/>
      <c r="S293" s="280"/>
      <c r="T293" s="280"/>
      <c r="U293" s="280"/>
      <c r="V293" s="280"/>
      <c r="W293" s="280"/>
      <c r="X293" s="280"/>
      <c r="Y293" s="280"/>
      <c r="Z293" s="280"/>
      <c r="AA293" s="280"/>
      <c r="AB293" s="280"/>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c r="BF293" s="280"/>
      <c r="BG293" s="280"/>
      <c r="BH293" s="280"/>
      <c r="BI293" s="280"/>
      <c r="BJ293" s="280"/>
      <c r="BK293" s="280"/>
      <c r="BL293" s="280"/>
      <c r="BM293" s="280"/>
      <c r="BN293" s="280"/>
      <c r="BO293" s="280"/>
      <c r="BP293" s="280"/>
      <c r="BQ293" s="280"/>
      <c r="BR293" s="280"/>
      <c r="BS293" s="280"/>
      <c r="BT293" s="280"/>
      <c r="BU293" s="280"/>
      <c r="BV293" s="280"/>
    </row>
    <row r="294" spans="2:74" x14ac:dyDescent="0.2">
      <c r="B294" s="280"/>
      <c r="D294" s="280"/>
      <c r="E294" s="280"/>
      <c r="F294" s="280"/>
      <c r="G294" s="280"/>
      <c r="H294" s="280"/>
      <c r="I294" s="280"/>
      <c r="J294" s="280"/>
      <c r="K294" s="280"/>
      <c r="L294" s="280"/>
      <c r="M294" s="280"/>
      <c r="N294" s="280"/>
      <c r="O294" s="280"/>
      <c r="P294" s="280"/>
      <c r="Q294" s="280"/>
      <c r="R294" s="280"/>
      <c r="S294" s="280"/>
      <c r="T294" s="280"/>
      <c r="U294" s="280"/>
      <c r="V294" s="280"/>
      <c r="W294" s="280"/>
      <c r="X294" s="280"/>
      <c r="Y294" s="280"/>
      <c r="Z294" s="280"/>
      <c r="AA294" s="280"/>
      <c r="AB294" s="280"/>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row>
    <row r="295" spans="2:74" x14ac:dyDescent="0.2">
      <c r="B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0"/>
      <c r="Z295" s="280"/>
      <c r="AA295" s="280"/>
      <c r="AB295" s="280"/>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row>
    <row r="296" spans="2:74" x14ac:dyDescent="0.2">
      <c r="B296" s="280"/>
      <c r="D296" s="280"/>
      <c r="E296" s="280"/>
      <c r="F296" s="280"/>
      <c r="G296" s="280"/>
      <c r="H296" s="280"/>
      <c r="I296" s="280"/>
      <c r="J296" s="280"/>
      <c r="K296" s="280"/>
      <c r="L296" s="280"/>
      <c r="M296" s="280"/>
      <c r="N296" s="280"/>
      <c r="O296" s="280"/>
      <c r="P296" s="280"/>
      <c r="Q296" s="280"/>
      <c r="R296" s="280"/>
      <c r="S296" s="280"/>
      <c r="T296" s="280"/>
      <c r="U296" s="280"/>
      <c r="V296" s="280"/>
      <c r="W296" s="280"/>
      <c r="X296" s="280"/>
      <c r="Y296" s="280"/>
      <c r="Z296" s="280"/>
      <c r="AA296" s="280"/>
      <c r="AB296" s="280"/>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row>
    <row r="297" spans="2:74" x14ac:dyDescent="0.2">
      <c r="B297" s="280"/>
      <c r="D297" s="280"/>
      <c r="E297" s="280"/>
      <c r="F297" s="280"/>
      <c r="G297" s="280"/>
      <c r="H297" s="280"/>
      <c r="I297" s="280"/>
      <c r="J297" s="280"/>
      <c r="K297" s="280"/>
      <c r="L297" s="280"/>
      <c r="M297" s="280"/>
      <c r="N297" s="280"/>
      <c r="O297" s="280"/>
      <c r="P297" s="280"/>
      <c r="Q297" s="280"/>
      <c r="R297" s="280"/>
      <c r="S297" s="280"/>
      <c r="T297" s="280"/>
      <c r="U297" s="280"/>
      <c r="V297" s="280"/>
      <c r="W297" s="280"/>
      <c r="X297" s="280"/>
      <c r="Y297" s="280"/>
      <c r="Z297" s="280"/>
      <c r="AA297" s="280"/>
      <c r="AB297" s="280"/>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row>
    <row r="298" spans="2:74" x14ac:dyDescent="0.2">
      <c r="B298" s="280"/>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0"/>
      <c r="BR298" s="280"/>
      <c r="BS298" s="280"/>
      <c r="BT298" s="280"/>
      <c r="BU298" s="280"/>
      <c r="BV298" s="280"/>
    </row>
    <row r="299" spans="2:74" x14ac:dyDescent="0.2">
      <c r="B299" s="280"/>
      <c r="D299" s="280"/>
      <c r="E299" s="280"/>
      <c r="F299" s="280"/>
      <c r="G299" s="280"/>
      <c r="H299" s="280"/>
      <c r="I299" s="280"/>
      <c r="J299" s="280"/>
      <c r="K299" s="280"/>
      <c r="L299" s="280"/>
      <c r="M299" s="280"/>
      <c r="N299" s="280"/>
      <c r="O299" s="280"/>
      <c r="P299" s="280"/>
      <c r="Q299" s="280"/>
      <c r="R299" s="280"/>
      <c r="S299" s="280"/>
      <c r="T299" s="280"/>
      <c r="U299" s="280"/>
      <c r="V299" s="280"/>
      <c r="W299" s="280"/>
      <c r="X299" s="280"/>
      <c r="Y299" s="280"/>
      <c r="Z299" s="280"/>
      <c r="AA299" s="280"/>
      <c r="AB299" s="280"/>
      <c r="AC299" s="280"/>
      <c r="AD299" s="280"/>
      <c r="AE299" s="280"/>
      <c r="AF299" s="280"/>
      <c r="AG299" s="280"/>
      <c r="AH299" s="280"/>
      <c r="AI299" s="280"/>
      <c r="AJ299" s="280"/>
      <c r="AK299" s="280"/>
      <c r="AL299" s="280"/>
      <c r="AM299" s="280"/>
      <c r="AN299" s="280"/>
      <c r="AO299" s="280"/>
      <c r="AP299" s="280"/>
      <c r="AQ299" s="280"/>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280"/>
      <c r="BP299" s="280"/>
      <c r="BQ299" s="280"/>
      <c r="BR299" s="280"/>
      <c r="BS299" s="280"/>
      <c r="BT299" s="280"/>
      <c r="BU299" s="280"/>
      <c r="BV299" s="280"/>
    </row>
    <row r="300" spans="2:74" x14ac:dyDescent="0.2">
      <c r="B300" s="280"/>
      <c r="D300" s="280"/>
      <c r="E300" s="280"/>
      <c r="F300" s="280"/>
      <c r="G300" s="280"/>
      <c r="H300" s="280"/>
      <c r="I300" s="280"/>
      <c r="J300" s="280"/>
      <c r="K300" s="280"/>
      <c r="L300" s="280"/>
      <c r="M300" s="280"/>
      <c r="N300" s="280"/>
      <c r="O300" s="280"/>
      <c r="P300" s="280"/>
      <c r="Q300" s="280"/>
      <c r="R300" s="280"/>
      <c r="S300" s="280"/>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280"/>
      <c r="BK300" s="280"/>
      <c r="BL300" s="280"/>
      <c r="BM300" s="280"/>
      <c r="BN300" s="280"/>
      <c r="BO300" s="280"/>
      <c r="BP300" s="280"/>
      <c r="BQ300" s="280"/>
      <c r="BR300" s="280"/>
      <c r="BS300" s="280"/>
      <c r="BT300" s="280"/>
      <c r="BU300" s="280"/>
      <c r="BV300" s="280"/>
    </row>
    <row r="301" spans="2:74" x14ac:dyDescent="0.2">
      <c r="B301" s="280"/>
      <c r="D301" s="280"/>
      <c r="E301" s="280"/>
      <c r="F301" s="280"/>
      <c r="G301" s="280"/>
      <c r="H301" s="280"/>
      <c r="I301" s="280"/>
      <c r="J301" s="280"/>
      <c r="K301" s="280"/>
      <c r="L301" s="280"/>
      <c r="M301" s="280"/>
      <c r="N301" s="280"/>
      <c r="O301" s="280"/>
      <c r="P301" s="280"/>
      <c r="Q301" s="280"/>
      <c r="R301" s="280"/>
      <c r="S301" s="280"/>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280"/>
      <c r="BK301" s="280"/>
      <c r="BL301" s="280"/>
      <c r="BM301" s="280"/>
      <c r="BN301" s="280"/>
      <c r="BO301" s="280"/>
      <c r="BP301" s="280"/>
      <c r="BQ301" s="280"/>
      <c r="BR301" s="280"/>
      <c r="BS301" s="280"/>
      <c r="BT301" s="280"/>
      <c r="BU301" s="280"/>
      <c r="BV301" s="280"/>
    </row>
    <row r="302" spans="2:74" x14ac:dyDescent="0.2">
      <c r="B302" s="280"/>
      <c r="D302" s="280"/>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c r="AH302" s="280"/>
      <c r="AI302" s="280"/>
      <c r="AJ302" s="280"/>
      <c r="AK302" s="280"/>
      <c r="AL302" s="280"/>
      <c r="AM302" s="280"/>
      <c r="AN302" s="280"/>
      <c r="AO302" s="280"/>
      <c r="AP302" s="280"/>
      <c r="AQ302" s="280"/>
      <c r="AR302" s="280"/>
      <c r="AS302" s="280"/>
      <c r="AT302" s="280"/>
      <c r="AU302" s="280"/>
      <c r="AV302" s="280"/>
      <c r="AW302" s="280"/>
      <c r="AX302" s="280"/>
      <c r="AY302" s="280"/>
      <c r="AZ302" s="280"/>
      <c r="BA302" s="280"/>
      <c r="BB302" s="280"/>
      <c r="BC302" s="280"/>
      <c r="BD302" s="280"/>
      <c r="BE302" s="280"/>
      <c r="BF302" s="280"/>
      <c r="BG302" s="280"/>
      <c r="BH302" s="280"/>
      <c r="BI302" s="280"/>
      <c r="BJ302" s="280"/>
      <c r="BK302" s="280"/>
      <c r="BL302" s="280"/>
      <c r="BM302" s="280"/>
      <c r="BN302" s="280"/>
      <c r="BO302" s="280"/>
      <c r="BP302" s="280"/>
      <c r="BQ302" s="280"/>
      <c r="BR302" s="280"/>
      <c r="BS302" s="280"/>
      <c r="BT302" s="280"/>
      <c r="BU302" s="280"/>
      <c r="BV302" s="280"/>
    </row>
    <row r="303" spans="2:74" x14ac:dyDescent="0.2">
      <c r="B303" s="280"/>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280"/>
      <c r="BP303" s="280"/>
      <c r="BQ303" s="280"/>
      <c r="BR303" s="280"/>
      <c r="BS303" s="280"/>
      <c r="BT303" s="280"/>
      <c r="BU303" s="280"/>
      <c r="BV303" s="280"/>
    </row>
    <row r="304" spans="2:74" x14ac:dyDescent="0.2">
      <c r="B304" s="280"/>
      <c r="D304" s="280"/>
      <c r="E304" s="280"/>
      <c r="F304" s="280"/>
      <c r="G304" s="280"/>
      <c r="H304" s="280"/>
      <c r="I304" s="280"/>
      <c r="J304" s="280"/>
      <c r="K304" s="280"/>
      <c r="L304" s="280"/>
      <c r="M304" s="280"/>
      <c r="N304" s="280"/>
      <c r="O304" s="280"/>
      <c r="P304" s="280"/>
      <c r="Q304" s="280"/>
      <c r="R304" s="280"/>
      <c r="S304" s="280"/>
      <c r="T304" s="280"/>
      <c r="U304" s="280"/>
      <c r="V304" s="280"/>
      <c r="W304" s="280"/>
      <c r="X304" s="280"/>
      <c r="Y304" s="280"/>
      <c r="Z304" s="280"/>
      <c r="AA304" s="280"/>
      <c r="AB304" s="280"/>
      <c r="AC304" s="280"/>
      <c r="AD304" s="280"/>
      <c r="AE304" s="280"/>
      <c r="AF304" s="280"/>
      <c r="AG304" s="280"/>
      <c r="AH304" s="280"/>
      <c r="AI304" s="280"/>
      <c r="AJ304" s="280"/>
      <c r="AK304" s="280"/>
      <c r="AL304" s="280"/>
      <c r="AM304" s="280"/>
      <c r="AN304" s="280"/>
      <c r="AO304" s="280"/>
      <c r="AP304" s="280"/>
      <c r="AQ304" s="280"/>
      <c r="AR304" s="280"/>
      <c r="AS304" s="280"/>
      <c r="AT304" s="280"/>
      <c r="AU304" s="280"/>
      <c r="AV304" s="280"/>
      <c r="AW304" s="280"/>
      <c r="AX304" s="280"/>
      <c r="AY304" s="280"/>
      <c r="AZ304" s="280"/>
      <c r="BA304" s="280"/>
      <c r="BB304" s="280"/>
      <c r="BC304" s="280"/>
      <c r="BD304" s="280"/>
      <c r="BE304" s="280"/>
      <c r="BF304" s="280"/>
      <c r="BG304" s="280"/>
      <c r="BH304" s="280"/>
      <c r="BI304" s="280"/>
      <c r="BJ304" s="280"/>
      <c r="BK304" s="280"/>
      <c r="BL304" s="280"/>
      <c r="BM304" s="280"/>
      <c r="BN304" s="280"/>
      <c r="BO304" s="280"/>
      <c r="BP304" s="280"/>
      <c r="BQ304" s="280"/>
      <c r="BR304" s="280"/>
      <c r="BS304" s="280"/>
      <c r="BT304" s="280"/>
      <c r="BU304" s="280"/>
      <c r="BV304" s="280"/>
    </row>
    <row r="305" spans="2:74" x14ac:dyDescent="0.2">
      <c r="B305" s="280"/>
      <c r="D305" s="280"/>
      <c r="E305" s="280"/>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280"/>
      <c r="BP305" s="280"/>
      <c r="BQ305" s="280"/>
      <c r="BR305" s="280"/>
      <c r="BS305" s="280"/>
      <c r="BT305" s="280"/>
      <c r="BU305" s="280"/>
      <c r="BV305" s="280"/>
    </row>
    <row r="306" spans="2:74" x14ac:dyDescent="0.2">
      <c r="B306" s="280"/>
      <c r="D306" s="280"/>
      <c r="E306" s="280"/>
      <c r="F306" s="280"/>
      <c r="G306" s="280"/>
      <c r="H306" s="280"/>
      <c r="I306" s="280"/>
      <c r="J306" s="280"/>
      <c r="K306" s="280"/>
      <c r="L306" s="280"/>
      <c r="M306" s="280"/>
      <c r="N306" s="280"/>
      <c r="O306" s="280"/>
      <c r="P306" s="280"/>
      <c r="Q306" s="280"/>
      <c r="R306" s="280"/>
      <c r="S306" s="280"/>
      <c r="T306" s="280"/>
      <c r="U306" s="280"/>
      <c r="V306" s="280"/>
      <c r="W306" s="280"/>
      <c r="X306" s="280"/>
      <c r="Y306" s="280"/>
      <c r="Z306" s="280"/>
      <c r="AA306" s="280"/>
      <c r="AB306" s="280"/>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280"/>
      <c r="BP306" s="280"/>
      <c r="BQ306" s="280"/>
      <c r="BR306" s="280"/>
      <c r="BS306" s="280"/>
      <c r="BT306" s="280"/>
      <c r="BU306" s="280"/>
      <c r="BV306" s="280"/>
    </row>
    <row r="307" spans="2:74" x14ac:dyDescent="0.2">
      <c r="B307" s="280"/>
      <c r="D307" s="280"/>
      <c r="E307" s="280"/>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280"/>
      <c r="BP307" s="280"/>
      <c r="BQ307" s="280"/>
      <c r="BR307" s="280"/>
      <c r="BS307" s="280"/>
      <c r="BT307" s="280"/>
      <c r="BU307" s="280"/>
      <c r="BV307" s="280"/>
    </row>
    <row r="308" spans="2:74" x14ac:dyDescent="0.2">
      <c r="B308" s="280"/>
      <c r="D308" s="280"/>
      <c r="E308" s="280"/>
      <c r="F308" s="280"/>
      <c r="G308" s="280"/>
      <c r="H308" s="280"/>
      <c r="I308" s="280"/>
      <c r="J308" s="280"/>
      <c r="K308" s="280"/>
      <c r="L308" s="280"/>
      <c r="M308" s="280"/>
      <c r="N308" s="280"/>
      <c r="O308" s="280"/>
      <c r="P308" s="280"/>
      <c r="Q308" s="280"/>
      <c r="R308" s="280"/>
      <c r="S308" s="280"/>
      <c r="T308" s="280"/>
      <c r="U308" s="280"/>
      <c r="V308" s="280"/>
      <c r="W308" s="280"/>
      <c r="X308" s="280"/>
      <c r="Y308" s="280"/>
      <c r="Z308" s="280"/>
      <c r="AA308" s="280"/>
      <c r="AB308" s="280"/>
      <c r="AC308" s="280"/>
      <c r="AD308" s="280"/>
      <c r="AE308" s="280"/>
      <c r="AF308" s="280"/>
      <c r="AG308" s="280"/>
      <c r="AH308" s="280"/>
      <c r="AI308" s="280"/>
      <c r="AJ308" s="280"/>
      <c r="AK308" s="280"/>
      <c r="AL308" s="280"/>
      <c r="AM308" s="280"/>
      <c r="AN308" s="280"/>
      <c r="AO308" s="280"/>
      <c r="AP308" s="280"/>
      <c r="AQ308" s="280"/>
      <c r="AR308" s="280"/>
      <c r="AS308" s="280"/>
      <c r="AT308" s="280"/>
      <c r="AU308" s="280"/>
      <c r="AV308" s="280"/>
      <c r="AW308" s="280"/>
      <c r="AX308" s="280"/>
      <c r="AY308" s="280"/>
      <c r="AZ308" s="280"/>
      <c r="BA308" s="280"/>
      <c r="BB308" s="280"/>
      <c r="BC308" s="280"/>
      <c r="BD308" s="280"/>
      <c r="BE308" s="280"/>
      <c r="BF308" s="280"/>
      <c r="BG308" s="280"/>
      <c r="BH308" s="280"/>
      <c r="BI308" s="280"/>
      <c r="BJ308" s="280"/>
      <c r="BK308" s="280"/>
      <c r="BL308" s="280"/>
      <c r="BM308" s="280"/>
      <c r="BN308" s="280"/>
      <c r="BO308" s="280"/>
      <c r="BP308" s="280"/>
      <c r="BQ308" s="280"/>
      <c r="BR308" s="280"/>
      <c r="BS308" s="280"/>
      <c r="BT308" s="280"/>
      <c r="BU308" s="280"/>
      <c r="BV308" s="280"/>
    </row>
    <row r="309" spans="2:74" x14ac:dyDescent="0.2">
      <c r="B309" s="280"/>
      <c r="D309" s="280"/>
      <c r="E309" s="280"/>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0"/>
      <c r="AY309" s="280"/>
      <c r="AZ309" s="280"/>
      <c r="BA309" s="280"/>
      <c r="BB309" s="280"/>
      <c r="BC309" s="280"/>
      <c r="BD309" s="280"/>
      <c r="BE309" s="280"/>
      <c r="BF309" s="280"/>
      <c r="BG309" s="280"/>
      <c r="BH309" s="280"/>
      <c r="BI309" s="280"/>
      <c r="BJ309" s="280"/>
      <c r="BK309" s="280"/>
      <c r="BL309" s="280"/>
      <c r="BM309" s="280"/>
      <c r="BN309" s="280"/>
      <c r="BO309" s="280"/>
      <c r="BP309" s="280"/>
      <c r="BQ309" s="280"/>
      <c r="BR309" s="280"/>
      <c r="BS309" s="280"/>
      <c r="BT309" s="280"/>
      <c r="BU309" s="280"/>
      <c r="BV309" s="280"/>
    </row>
    <row r="310" spans="2:74" x14ac:dyDescent="0.2">
      <c r="B310" s="280"/>
      <c r="D310" s="280"/>
      <c r="E310" s="280"/>
      <c r="F310" s="280"/>
      <c r="G310" s="280"/>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0"/>
      <c r="AY310" s="280"/>
      <c r="AZ310" s="280"/>
      <c r="BA310" s="280"/>
      <c r="BB310" s="280"/>
      <c r="BC310" s="280"/>
      <c r="BD310" s="280"/>
      <c r="BE310" s="280"/>
      <c r="BF310" s="280"/>
      <c r="BG310" s="280"/>
      <c r="BH310" s="280"/>
      <c r="BI310" s="280"/>
      <c r="BJ310" s="280"/>
      <c r="BK310" s="280"/>
      <c r="BL310" s="280"/>
      <c r="BM310" s="280"/>
      <c r="BN310" s="280"/>
      <c r="BO310" s="280"/>
      <c r="BP310" s="280"/>
      <c r="BQ310" s="280"/>
      <c r="BR310" s="280"/>
      <c r="BS310" s="280"/>
      <c r="BT310" s="280"/>
      <c r="BU310" s="280"/>
      <c r="BV310" s="280"/>
    </row>
    <row r="311" spans="2:74" x14ac:dyDescent="0.2">
      <c r="B311" s="280"/>
      <c r="D311" s="280"/>
      <c r="E311" s="280"/>
      <c r="F311" s="280"/>
      <c r="G311" s="280"/>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0"/>
      <c r="AY311" s="280"/>
      <c r="AZ311" s="280"/>
      <c r="BA311" s="280"/>
      <c r="BB311" s="280"/>
      <c r="BC311" s="280"/>
      <c r="BD311" s="280"/>
      <c r="BE311" s="280"/>
      <c r="BF311" s="280"/>
      <c r="BG311" s="280"/>
      <c r="BH311" s="280"/>
      <c r="BI311" s="280"/>
      <c r="BJ311" s="280"/>
      <c r="BK311" s="280"/>
      <c r="BL311" s="280"/>
      <c r="BM311" s="280"/>
      <c r="BN311" s="280"/>
      <c r="BO311" s="280"/>
      <c r="BP311" s="280"/>
      <c r="BQ311" s="280"/>
      <c r="BR311" s="280"/>
      <c r="BS311" s="280"/>
      <c r="BT311" s="280"/>
      <c r="BU311" s="280"/>
      <c r="BV311" s="280"/>
    </row>
    <row r="312" spans="2:74" x14ac:dyDescent="0.2">
      <c r="B312" s="280"/>
      <c r="D312" s="280"/>
      <c r="E312" s="280"/>
      <c r="F312" s="280"/>
      <c r="G312" s="280"/>
      <c r="H312" s="280"/>
      <c r="I312" s="280"/>
      <c r="J312" s="280"/>
      <c r="K312" s="280"/>
      <c r="L312" s="280"/>
      <c r="M312" s="280"/>
      <c r="N312" s="280"/>
      <c r="O312" s="280"/>
      <c r="P312" s="280"/>
      <c r="Q312" s="280"/>
      <c r="R312" s="280"/>
      <c r="S312" s="280"/>
      <c r="T312" s="280"/>
      <c r="U312" s="280"/>
      <c r="V312" s="280"/>
      <c r="W312" s="280"/>
      <c r="X312" s="280"/>
      <c r="Y312" s="280"/>
      <c r="Z312" s="280"/>
      <c r="AA312" s="280"/>
      <c r="AB312" s="280"/>
      <c r="AC312" s="280"/>
      <c r="AD312" s="280"/>
      <c r="AE312" s="280"/>
      <c r="AF312" s="280"/>
      <c r="AG312" s="280"/>
      <c r="AH312" s="280"/>
      <c r="AI312" s="280"/>
      <c r="AJ312" s="280"/>
      <c r="AK312" s="280"/>
      <c r="AL312" s="280"/>
      <c r="AM312" s="280"/>
      <c r="AN312" s="280"/>
      <c r="AO312" s="280"/>
      <c r="AP312" s="280"/>
      <c r="AQ312" s="280"/>
      <c r="AR312" s="280"/>
      <c r="AS312" s="280"/>
      <c r="AT312" s="280"/>
      <c r="AU312" s="280"/>
      <c r="AV312" s="280"/>
      <c r="AW312" s="280"/>
      <c r="AX312" s="280"/>
      <c r="AY312" s="280"/>
      <c r="AZ312" s="280"/>
      <c r="BA312" s="280"/>
      <c r="BB312" s="280"/>
      <c r="BC312" s="280"/>
      <c r="BD312" s="280"/>
      <c r="BE312" s="280"/>
      <c r="BF312" s="280"/>
      <c r="BG312" s="280"/>
      <c r="BH312" s="280"/>
      <c r="BI312" s="280"/>
      <c r="BJ312" s="280"/>
      <c r="BK312" s="280"/>
      <c r="BL312" s="280"/>
      <c r="BM312" s="280"/>
      <c r="BN312" s="280"/>
      <c r="BO312" s="280"/>
      <c r="BP312" s="280"/>
      <c r="BQ312" s="280"/>
      <c r="BR312" s="280"/>
      <c r="BS312" s="280"/>
      <c r="BT312" s="280"/>
      <c r="BU312" s="280"/>
      <c r="BV312" s="280"/>
    </row>
    <row r="313" spans="2:74" x14ac:dyDescent="0.2">
      <c r="B313" s="280"/>
      <c r="D313" s="280"/>
      <c r="E313" s="280"/>
      <c r="F313" s="280"/>
      <c r="G313" s="280"/>
      <c r="H313" s="280"/>
      <c r="I313" s="280"/>
      <c r="J313" s="280"/>
      <c r="K313" s="280"/>
      <c r="L313" s="280"/>
      <c r="M313" s="280"/>
      <c r="N313" s="280"/>
      <c r="O313" s="280"/>
      <c r="P313" s="280"/>
      <c r="Q313" s="280"/>
      <c r="R313" s="280"/>
      <c r="S313" s="280"/>
      <c r="T313" s="280"/>
      <c r="U313" s="280"/>
      <c r="V313" s="280"/>
      <c r="W313" s="280"/>
      <c r="X313" s="280"/>
      <c r="Y313" s="280"/>
      <c r="Z313" s="280"/>
      <c r="AA313" s="280"/>
      <c r="AB313" s="280"/>
      <c r="AC313" s="280"/>
      <c r="AD313" s="280"/>
      <c r="AE313" s="280"/>
      <c r="AF313" s="280"/>
      <c r="AG313" s="280"/>
      <c r="AH313" s="280"/>
      <c r="AI313" s="280"/>
      <c r="AJ313" s="280"/>
      <c r="AK313" s="280"/>
      <c r="AL313" s="280"/>
      <c r="AM313" s="280"/>
      <c r="AN313" s="280"/>
      <c r="AO313" s="280"/>
      <c r="AP313" s="280"/>
      <c r="AQ313" s="280"/>
      <c r="AR313" s="280"/>
      <c r="AS313" s="280"/>
      <c r="AT313" s="280"/>
      <c r="AU313" s="280"/>
      <c r="AV313" s="280"/>
      <c r="AW313" s="280"/>
      <c r="AX313" s="280"/>
      <c r="AY313" s="280"/>
      <c r="AZ313" s="280"/>
      <c r="BA313" s="280"/>
      <c r="BB313" s="280"/>
      <c r="BC313" s="280"/>
      <c r="BD313" s="280"/>
      <c r="BE313" s="280"/>
      <c r="BF313" s="280"/>
      <c r="BG313" s="280"/>
      <c r="BH313" s="280"/>
      <c r="BI313" s="280"/>
      <c r="BJ313" s="280"/>
      <c r="BK313" s="280"/>
      <c r="BL313" s="280"/>
      <c r="BM313" s="280"/>
      <c r="BN313" s="280"/>
      <c r="BO313" s="280"/>
      <c r="BP313" s="280"/>
      <c r="BQ313" s="280"/>
      <c r="BR313" s="280"/>
      <c r="BS313" s="280"/>
      <c r="BT313" s="280"/>
      <c r="BU313" s="280"/>
      <c r="BV313" s="280"/>
    </row>
    <row r="314" spans="2:74" x14ac:dyDescent="0.2">
      <c r="B314" s="280"/>
      <c r="D314" s="280"/>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280"/>
      <c r="AJ314" s="280"/>
      <c r="AK314" s="280"/>
      <c r="AL314" s="280"/>
      <c r="AM314" s="280"/>
      <c r="AN314" s="280"/>
      <c r="AO314" s="280"/>
      <c r="AP314" s="280"/>
      <c r="AQ314" s="280"/>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0"/>
      <c r="BR314" s="280"/>
      <c r="BS314" s="280"/>
      <c r="BT314" s="280"/>
      <c r="BU314" s="280"/>
      <c r="BV314" s="280"/>
    </row>
    <row r="315" spans="2:74" x14ac:dyDescent="0.2">
      <c r="B315" s="280"/>
      <c r="D315" s="280"/>
      <c r="E315" s="280"/>
      <c r="F315" s="280"/>
      <c r="G315" s="280"/>
      <c r="H315" s="280"/>
      <c r="I315" s="280"/>
      <c r="J315" s="280"/>
      <c r="K315" s="280"/>
      <c r="L315" s="280"/>
      <c r="M315" s="280"/>
      <c r="N315" s="280"/>
      <c r="O315" s="280"/>
      <c r="P315" s="280"/>
      <c r="Q315" s="280"/>
      <c r="R315" s="280"/>
      <c r="S315" s="280"/>
      <c r="T315" s="280"/>
      <c r="U315" s="280"/>
      <c r="V315" s="280"/>
      <c r="W315" s="280"/>
      <c r="X315" s="280"/>
      <c r="Y315" s="280"/>
      <c r="Z315" s="280"/>
      <c r="AA315" s="280"/>
      <c r="AB315" s="280"/>
      <c r="AC315" s="280"/>
      <c r="AD315" s="280"/>
      <c r="AE315" s="280"/>
      <c r="AF315" s="280"/>
      <c r="AG315" s="280"/>
      <c r="AH315" s="280"/>
      <c r="AI315" s="280"/>
      <c r="AJ315" s="280"/>
      <c r="AK315" s="280"/>
      <c r="AL315" s="280"/>
      <c r="AM315" s="280"/>
      <c r="AN315" s="280"/>
      <c r="AO315" s="280"/>
      <c r="AP315" s="280"/>
      <c r="AQ315" s="280"/>
      <c r="AR315" s="280"/>
      <c r="AS315" s="280"/>
      <c r="AT315" s="280"/>
      <c r="AU315" s="280"/>
      <c r="AV315" s="280"/>
      <c r="AW315" s="280"/>
      <c r="AX315" s="280"/>
      <c r="AY315" s="280"/>
      <c r="AZ315" s="280"/>
      <c r="BA315" s="280"/>
      <c r="BB315" s="280"/>
      <c r="BC315" s="280"/>
      <c r="BD315" s="280"/>
      <c r="BE315" s="280"/>
      <c r="BF315" s="280"/>
      <c r="BG315" s="280"/>
      <c r="BH315" s="280"/>
      <c r="BI315" s="280"/>
      <c r="BJ315" s="280"/>
      <c r="BK315" s="280"/>
      <c r="BL315" s="280"/>
      <c r="BM315" s="280"/>
      <c r="BN315" s="280"/>
      <c r="BO315" s="280"/>
      <c r="BP315" s="280"/>
      <c r="BQ315" s="280"/>
      <c r="BR315" s="280"/>
      <c r="BS315" s="280"/>
      <c r="BT315" s="280"/>
      <c r="BU315" s="280"/>
      <c r="BV315" s="280"/>
    </row>
    <row r="316" spans="2:74" x14ac:dyDescent="0.2">
      <c r="B316" s="280"/>
      <c r="D316" s="280"/>
      <c r="E316" s="280"/>
      <c r="F316" s="280"/>
      <c r="G316" s="280"/>
      <c r="H316" s="280"/>
      <c r="I316" s="280"/>
      <c r="J316" s="280"/>
      <c r="K316" s="280"/>
      <c r="L316" s="280"/>
      <c r="M316" s="280"/>
      <c r="N316" s="280"/>
      <c r="O316" s="280"/>
      <c r="P316" s="280"/>
      <c r="Q316" s="280"/>
      <c r="R316" s="280"/>
      <c r="S316" s="280"/>
      <c r="T316" s="280"/>
      <c r="U316" s="280"/>
      <c r="V316" s="280"/>
      <c r="W316" s="280"/>
      <c r="X316" s="280"/>
      <c r="Y316" s="280"/>
      <c r="Z316" s="280"/>
      <c r="AA316" s="280"/>
      <c r="AB316" s="280"/>
      <c r="AC316" s="280"/>
      <c r="AD316" s="280"/>
      <c r="AE316" s="280"/>
      <c r="AF316" s="280"/>
      <c r="AG316" s="280"/>
      <c r="AH316" s="280"/>
      <c r="AI316" s="280"/>
      <c r="AJ316" s="280"/>
      <c r="AK316" s="280"/>
      <c r="AL316" s="280"/>
      <c r="AM316" s="280"/>
      <c r="AN316" s="280"/>
      <c r="AO316" s="280"/>
      <c r="AP316" s="280"/>
      <c r="AQ316" s="280"/>
      <c r="AR316" s="280"/>
      <c r="AS316" s="280"/>
      <c r="AT316" s="280"/>
      <c r="AU316" s="280"/>
      <c r="AV316" s="280"/>
      <c r="AW316" s="280"/>
      <c r="AX316" s="280"/>
      <c r="AY316" s="280"/>
      <c r="AZ316" s="280"/>
      <c r="BA316" s="280"/>
      <c r="BB316" s="280"/>
      <c r="BC316" s="280"/>
      <c r="BD316" s="280"/>
      <c r="BE316" s="280"/>
      <c r="BF316" s="280"/>
      <c r="BG316" s="280"/>
      <c r="BH316" s="280"/>
      <c r="BI316" s="280"/>
      <c r="BJ316" s="280"/>
      <c r="BK316" s="280"/>
      <c r="BL316" s="280"/>
      <c r="BM316" s="280"/>
      <c r="BN316" s="280"/>
      <c r="BO316" s="280"/>
      <c r="BP316" s="280"/>
      <c r="BQ316" s="280"/>
      <c r="BR316" s="280"/>
      <c r="BS316" s="280"/>
      <c r="BT316" s="280"/>
      <c r="BU316" s="280"/>
      <c r="BV316" s="280"/>
    </row>
    <row r="317" spans="2:74" x14ac:dyDescent="0.2">
      <c r="B317" s="280"/>
      <c r="D317" s="280"/>
      <c r="E317" s="280"/>
      <c r="F317" s="280"/>
      <c r="G317" s="280"/>
      <c r="H317" s="280"/>
      <c r="I317" s="280"/>
      <c r="J317" s="280"/>
      <c r="K317" s="280"/>
      <c r="L317" s="280"/>
      <c r="M317" s="280"/>
      <c r="N317" s="280"/>
      <c r="O317" s="280"/>
      <c r="P317" s="280"/>
      <c r="Q317" s="280"/>
      <c r="R317" s="280"/>
      <c r="S317" s="280"/>
      <c r="T317" s="280"/>
      <c r="U317" s="280"/>
      <c r="V317" s="280"/>
      <c r="W317" s="280"/>
      <c r="X317" s="280"/>
      <c r="Y317" s="280"/>
      <c r="Z317" s="280"/>
      <c r="AA317" s="280"/>
      <c r="AB317" s="280"/>
      <c r="AC317" s="280"/>
      <c r="AD317" s="280"/>
      <c r="AE317" s="280"/>
      <c r="AF317" s="280"/>
      <c r="AG317" s="280"/>
      <c r="AH317" s="280"/>
      <c r="AI317" s="280"/>
      <c r="AJ317" s="280"/>
      <c r="AK317" s="280"/>
      <c r="AL317" s="280"/>
      <c r="AM317" s="280"/>
      <c r="AN317" s="280"/>
      <c r="AO317" s="280"/>
      <c r="AP317" s="280"/>
      <c r="AQ317" s="280"/>
      <c r="AR317" s="280"/>
      <c r="AS317" s="280"/>
      <c r="AT317" s="280"/>
      <c r="AU317" s="280"/>
      <c r="AV317" s="280"/>
      <c r="AW317" s="280"/>
      <c r="AX317" s="280"/>
      <c r="AY317" s="280"/>
      <c r="AZ317" s="280"/>
      <c r="BA317" s="280"/>
      <c r="BB317" s="280"/>
      <c r="BC317" s="280"/>
      <c r="BD317" s="280"/>
      <c r="BE317" s="280"/>
      <c r="BF317" s="280"/>
      <c r="BG317" s="280"/>
      <c r="BH317" s="280"/>
      <c r="BI317" s="280"/>
      <c r="BJ317" s="280"/>
      <c r="BK317" s="280"/>
      <c r="BL317" s="280"/>
      <c r="BM317" s="280"/>
      <c r="BN317" s="280"/>
      <c r="BO317" s="280"/>
      <c r="BP317" s="280"/>
      <c r="BQ317" s="280"/>
      <c r="BR317" s="280"/>
      <c r="BS317" s="280"/>
      <c r="BT317" s="280"/>
      <c r="BU317" s="280"/>
      <c r="BV317" s="280"/>
    </row>
    <row r="318" spans="2:74" x14ac:dyDescent="0.2">
      <c r="B318" s="280"/>
      <c r="D318" s="280"/>
      <c r="E318" s="280"/>
      <c r="F318" s="280"/>
      <c r="G318" s="280"/>
      <c r="H318" s="280"/>
      <c r="I318" s="280"/>
      <c r="J318" s="280"/>
      <c r="K318" s="280"/>
      <c r="L318" s="280"/>
      <c r="M318" s="280"/>
      <c r="N318" s="280"/>
      <c r="O318" s="280"/>
      <c r="P318" s="280"/>
      <c r="Q318" s="280"/>
      <c r="R318" s="280"/>
      <c r="S318" s="280"/>
      <c r="T318" s="280"/>
      <c r="U318" s="280"/>
      <c r="V318" s="280"/>
      <c r="W318" s="280"/>
      <c r="X318" s="280"/>
      <c r="Y318" s="280"/>
      <c r="Z318" s="280"/>
      <c r="AA318" s="280"/>
      <c r="AB318" s="280"/>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row>
    <row r="319" spans="2:74" x14ac:dyDescent="0.2">
      <c r="B319" s="280"/>
      <c r="D319" s="280"/>
      <c r="E319" s="280"/>
      <c r="F319" s="280"/>
      <c r="G319" s="280"/>
      <c r="H319" s="280"/>
      <c r="I319" s="280"/>
      <c r="J319" s="280"/>
      <c r="K319" s="280"/>
      <c r="L319" s="280"/>
      <c r="M319" s="280"/>
      <c r="N319" s="280"/>
      <c r="O319" s="280"/>
      <c r="P319" s="280"/>
      <c r="Q319" s="280"/>
      <c r="R319" s="280"/>
      <c r="S319" s="280"/>
      <c r="T319" s="280"/>
      <c r="U319" s="280"/>
      <c r="V319" s="280"/>
      <c r="W319" s="280"/>
      <c r="X319" s="280"/>
      <c r="Y319" s="280"/>
      <c r="Z319" s="280"/>
      <c r="AA319" s="280"/>
      <c r="AB319" s="280"/>
      <c r="AC319" s="280"/>
      <c r="AD319" s="280"/>
      <c r="AE319" s="280"/>
      <c r="AF319" s="280"/>
      <c r="AG319" s="280"/>
      <c r="AH319" s="280"/>
      <c r="AI319" s="280"/>
      <c r="AJ319" s="280"/>
      <c r="AK319" s="280"/>
      <c r="AL319" s="280"/>
      <c r="AM319" s="280"/>
      <c r="AN319" s="280"/>
      <c r="AO319" s="280"/>
      <c r="AP319" s="280"/>
      <c r="AQ319" s="280"/>
      <c r="AR319" s="280"/>
      <c r="AS319" s="280"/>
      <c r="AT319" s="280"/>
      <c r="AU319" s="280"/>
      <c r="AV319" s="280"/>
      <c r="AW319" s="280"/>
      <c r="AX319" s="280"/>
      <c r="AY319" s="280"/>
      <c r="AZ319" s="280"/>
      <c r="BA319" s="280"/>
      <c r="BB319" s="280"/>
      <c r="BC319" s="280"/>
      <c r="BD319" s="280"/>
      <c r="BE319" s="280"/>
      <c r="BF319" s="280"/>
      <c r="BG319" s="280"/>
      <c r="BH319" s="280"/>
      <c r="BI319" s="280"/>
      <c r="BJ319" s="280"/>
      <c r="BK319" s="280"/>
      <c r="BL319" s="280"/>
      <c r="BM319" s="280"/>
      <c r="BN319" s="280"/>
      <c r="BO319" s="280"/>
      <c r="BP319" s="280"/>
      <c r="BQ319" s="280"/>
      <c r="BR319" s="280"/>
      <c r="BS319" s="280"/>
      <c r="BT319" s="280"/>
      <c r="BU319" s="280"/>
      <c r="BV319" s="280"/>
    </row>
    <row r="320" spans="2:74" x14ac:dyDescent="0.2">
      <c r="B320" s="280"/>
      <c r="D320" s="280"/>
      <c r="E320" s="280"/>
      <c r="F320" s="280"/>
      <c r="G320" s="280"/>
      <c r="H320" s="280"/>
      <c r="I320" s="280"/>
      <c r="J320" s="280"/>
      <c r="K320" s="280"/>
      <c r="L320" s="280"/>
      <c r="M320" s="280"/>
      <c r="N320" s="280"/>
      <c r="O320" s="280"/>
      <c r="P320" s="280"/>
      <c r="Q320" s="280"/>
      <c r="R320" s="280"/>
      <c r="S320" s="280"/>
      <c r="T320" s="280"/>
      <c r="U320" s="280"/>
      <c r="V320" s="280"/>
      <c r="W320" s="280"/>
      <c r="X320" s="280"/>
      <c r="Y320" s="280"/>
      <c r="Z320" s="280"/>
      <c r="AA320" s="280"/>
      <c r="AB320" s="280"/>
      <c r="AC320" s="280"/>
      <c r="AD320" s="280"/>
      <c r="AE320" s="280"/>
      <c r="AF320" s="280"/>
      <c r="AG320" s="280"/>
      <c r="AH320" s="28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c r="BF320" s="280"/>
      <c r="BG320" s="280"/>
      <c r="BH320" s="280"/>
      <c r="BI320" s="280"/>
      <c r="BJ320" s="280"/>
      <c r="BK320" s="280"/>
      <c r="BL320" s="280"/>
      <c r="BM320" s="280"/>
      <c r="BN320" s="280"/>
      <c r="BO320" s="280"/>
      <c r="BP320" s="280"/>
      <c r="BQ320" s="280"/>
      <c r="BR320" s="280"/>
      <c r="BS320" s="280"/>
      <c r="BT320" s="280"/>
      <c r="BU320" s="280"/>
      <c r="BV320" s="280"/>
    </row>
    <row r="321" spans="2:74" x14ac:dyDescent="0.2">
      <c r="B321" s="280"/>
      <c r="D321" s="280"/>
      <c r="E321" s="280"/>
      <c r="F321" s="280"/>
      <c r="G321" s="280"/>
      <c r="H321" s="280"/>
      <c r="I321" s="280"/>
      <c r="J321" s="280"/>
      <c r="K321" s="280"/>
      <c r="L321" s="280"/>
      <c r="M321" s="280"/>
      <c r="N321" s="280"/>
      <c r="O321" s="280"/>
      <c r="P321" s="280"/>
      <c r="Q321" s="280"/>
      <c r="R321" s="280"/>
      <c r="S321" s="280"/>
      <c r="T321" s="280"/>
      <c r="U321" s="280"/>
      <c r="V321" s="280"/>
      <c r="W321" s="280"/>
      <c r="X321" s="280"/>
      <c r="Y321" s="280"/>
      <c r="Z321" s="280"/>
      <c r="AA321" s="280"/>
      <c r="AB321" s="280"/>
      <c r="AC321" s="280"/>
      <c r="AD321" s="280"/>
      <c r="AE321" s="280"/>
      <c r="AF321" s="280"/>
      <c r="AG321" s="280"/>
      <c r="AH321" s="280"/>
      <c r="AI321" s="280"/>
      <c r="AJ321" s="280"/>
      <c r="AK321" s="280"/>
      <c r="AL321" s="280"/>
      <c r="AM321" s="280"/>
      <c r="AN321" s="280"/>
      <c r="AO321" s="280"/>
      <c r="AP321" s="280"/>
      <c r="AQ321" s="280"/>
      <c r="AR321" s="280"/>
      <c r="AS321" s="280"/>
      <c r="AT321" s="280"/>
      <c r="AU321" s="280"/>
      <c r="AV321" s="280"/>
      <c r="AW321" s="280"/>
      <c r="AX321" s="280"/>
      <c r="AY321" s="280"/>
      <c r="AZ321" s="280"/>
      <c r="BA321" s="280"/>
      <c r="BB321" s="280"/>
      <c r="BC321" s="280"/>
      <c r="BD321" s="280"/>
      <c r="BE321" s="280"/>
      <c r="BF321" s="280"/>
      <c r="BG321" s="280"/>
      <c r="BH321" s="280"/>
      <c r="BI321" s="280"/>
      <c r="BJ321" s="280"/>
      <c r="BK321" s="280"/>
      <c r="BL321" s="280"/>
      <c r="BM321" s="280"/>
      <c r="BN321" s="280"/>
      <c r="BO321" s="280"/>
      <c r="BP321" s="280"/>
      <c r="BQ321" s="280"/>
      <c r="BR321" s="280"/>
      <c r="BS321" s="280"/>
      <c r="BT321" s="280"/>
      <c r="BU321" s="280"/>
      <c r="BV321" s="280"/>
    </row>
    <row r="322" spans="2:74" x14ac:dyDescent="0.2">
      <c r="B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0"/>
      <c r="AI322" s="280"/>
      <c r="AJ322" s="280"/>
      <c r="AK322" s="280"/>
      <c r="AL322" s="280"/>
      <c r="AM322" s="280"/>
      <c r="AN322" s="280"/>
      <c r="AO322" s="280"/>
      <c r="AP322" s="280"/>
      <c r="AQ322" s="280"/>
      <c r="AR322" s="280"/>
      <c r="AS322" s="280"/>
      <c r="AT322" s="280"/>
      <c r="AU322" s="280"/>
      <c r="AV322" s="280"/>
      <c r="AW322" s="280"/>
      <c r="AX322" s="280"/>
      <c r="AY322" s="280"/>
      <c r="AZ322" s="280"/>
      <c r="BA322" s="280"/>
      <c r="BB322" s="280"/>
      <c r="BC322" s="280"/>
      <c r="BD322" s="280"/>
      <c r="BE322" s="280"/>
      <c r="BF322" s="280"/>
      <c r="BG322" s="280"/>
      <c r="BH322" s="280"/>
      <c r="BI322" s="280"/>
      <c r="BJ322" s="280"/>
      <c r="BK322" s="280"/>
      <c r="BL322" s="280"/>
      <c r="BM322" s="280"/>
      <c r="BN322" s="280"/>
      <c r="BO322" s="280"/>
      <c r="BP322" s="280"/>
      <c r="BQ322" s="280"/>
      <c r="BR322" s="280"/>
      <c r="BS322" s="280"/>
      <c r="BT322" s="280"/>
      <c r="BU322" s="280"/>
      <c r="BV322" s="280"/>
    </row>
    <row r="323" spans="2:74" x14ac:dyDescent="0.2">
      <c r="B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0"/>
      <c r="AL323" s="280"/>
      <c r="AM323" s="280"/>
      <c r="AN323" s="280"/>
      <c r="AO323" s="280"/>
      <c r="AP323" s="280"/>
      <c r="AQ323" s="280"/>
      <c r="AR323" s="280"/>
      <c r="AS323" s="280"/>
      <c r="AT323" s="280"/>
      <c r="AU323" s="280"/>
      <c r="AV323" s="280"/>
      <c r="AW323" s="280"/>
      <c r="AX323" s="280"/>
      <c r="AY323" s="280"/>
      <c r="AZ323" s="280"/>
      <c r="BA323" s="280"/>
      <c r="BB323" s="280"/>
      <c r="BC323" s="280"/>
      <c r="BD323" s="280"/>
      <c r="BE323" s="280"/>
      <c r="BF323" s="280"/>
      <c r="BG323" s="280"/>
      <c r="BH323" s="280"/>
      <c r="BI323" s="280"/>
      <c r="BJ323" s="280"/>
      <c r="BK323" s="280"/>
      <c r="BL323" s="280"/>
      <c r="BM323" s="280"/>
      <c r="BN323" s="280"/>
      <c r="BO323" s="280"/>
      <c r="BP323" s="280"/>
      <c r="BQ323" s="280"/>
      <c r="BR323" s="280"/>
      <c r="BS323" s="280"/>
      <c r="BT323" s="280"/>
      <c r="BU323" s="280"/>
      <c r="BV323" s="280"/>
    </row>
    <row r="324" spans="2:74" x14ac:dyDescent="0.2">
      <c r="B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0"/>
      <c r="AO324" s="280"/>
      <c r="AP324" s="280"/>
      <c r="AQ324" s="280"/>
      <c r="AR324" s="280"/>
      <c r="AS324" s="280"/>
      <c r="AT324" s="280"/>
      <c r="AU324" s="280"/>
      <c r="AV324" s="280"/>
      <c r="AW324" s="280"/>
      <c r="AX324" s="280"/>
      <c r="AY324" s="280"/>
      <c r="AZ324" s="280"/>
      <c r="BA324" s="280"/>
      <c r="BB324" s="280"/>
      <c r="BC324" s="280"/>
      <c r="BD324" s="280"/>
      <c r="BE324" s="280"/>
      <c r="BF324" s="280"/>
      <c r="BG324" s="280"/>
      <c r="BH324" s="280"/>
      <c r="BI324" s="280"/>
      <c r="BJ324" s="280"/>
      <c r="BK324" s="280"/>
      <c r="BL324" s="280"/>
      <c r="BM324" s="280"/>
      <c r="BN324" s="280"/>
      <c r="BO324" s="280"/>
      <c r="BP324" s="280"/>
      <c r="BQ324" s="280"/>
      <c r="BR324" s="280"/>
      <c r="BS324" s="280"/>
      <c r="BT324" s="280"/>
      <c r="BU324" s="280"/>
      <c r="BV324" s="280"/>
    </row>
    <row r="325" spans="2:74" x14ac:dyDescent="0.2">
      <c r="B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0"/>
      <c r="Z325" s="280"/>
      <c r="AA325" s="280"/>
      <c r="AB325" s="280"/>
      <c r="AC325" s="280"/>
      <c r="AD325" s="280"/>
      <c r="AE325" s="280"/>
      <c r="AF325" s="280"/>
      <c r="AG325" s="280"/>
      <c r="AH325" s="280"/>
      <c r="AI325" s="280"/>
      <c r="AJ325" s="280"/>
      <c r="AK325" s="280"/>
      <c r="AL325" s="280"/>
      <c r="AM325" s="280"/>
      <c r="AN325" s="280"/>
      <c r="AO325" s="280"/>
      <c r="AP325" s="280"/>
      <c r="AQ325" s="280"/>
      <c r="AR325" s="280"/>
      <c r="AS325" s="280"/>
      <c r="AT325" s="280"/>
      <c r="AU325" s="280"/>
      <c r="AV325" s="280"/>
      <c r="AW325" s="280"/>
      <c r="AX325" s="280"/>
      <c r="AY325" s="280"/>
      <c r="AZ325" s="280"/>
      <c r="BA325" s="280"/>
      <c r="BB325" s="280"/>
      <c r="BC325" s="280"/>
      <c r="BD325" s="280"/>
      <c r="BE325" s="280"/>
      <c r="BF325" s="280"/>
      <c r="BG325" s="280"/>
      <c r="BH325" s="280"/>
      <c r="BI325" s="280"/>
      <c r="BJ325" s="280"/>
      <c r="BK325" s="280"/>
      <c r="BL325" s="280"/>
      <c r="BM325" s="280"/>
      <c r="BN325" s="280"/>
      <c r="BO325" s="280"/>
      <c r="BP325" s="280"/>
      <c r="BQ325" s="280"/>
      <c r="BR325" s="280"/>
      <c r="BS325" s="280"/>
      <c r="BT325" s="280"/>
      <c r="BU325" s="280"/>
      <c r="BV325" s="280"/>
    </row>
    <row r="326" spans="2:74" x14ac:dyDescent="0.2">
      <c r="B326" s="280"/>
      <c r="D326" s="280"/>
      <c r="E326" s="280"/>
      <c r="F326" s="280"/>
      <c r="G326" s="280"/>
      <c r="H326" s="280"/>
      <c r="I326" s="280"/>
      <c r="J326" s="280"/>
      <c r="K326" s="280"/>
      <c r="L326" s="280"/>
      <c r="M326" s="280"/>
      <c r="N326" s="280"/>
      <c r="O326" s="280"/>
      <c r="P326" s="280"/>
      <c r="Q326" s="280"/>
      <c r="R326" s="280"/>
      <c r="S326" s="280"/>
      <c r="T326" s="280"/>
      <c r="U326" s="280"/>
      <c r="V326" s="280"/>
      <c r="W326" s="280"/>
      <c r="X326" s="280"/>
      <c r="Y326" s="280"/>
      <c r="Z326" s="280"/>
      <c r="AA326" s="280"/>
      <c r="AB326" s="280"/>
      <c r="AC326" s="280"/>
      <c r="AD326" s="280"/>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c r="BF326" s="280"/>
      <c r="BG326" s="280"/>
      <c r="BH326" s="280"/>
      <c r="BI326" s="280"/>
      <c r="BJ326" s="280"/>
      <c r="BK326" s="280"/>
      <c r="BL326" s="280"/>
      <c r="BM326" s="280"/>
      <c r="BN326" s="280"/>
      <c r="BO326" s="280"/>
      <c r="BP326" s="280"/>
      <c r="BQ326" s="280"/>
      <c r="BR326" s="280"/>
      <c r="BS326" s="280"/>
      <c r="BT326" s="280"/>
      <c r="BU326" s="280"/>
      <c r="BV326" s="280"/>
    </row>
    <row r="327" spans="2:74" x14ac:dyDescent="0.2">
      <c r="B327" s="280"/>
      <c r="D327" s="280"/>
      <c r="E327" s="280"/>
      <c r="F327" s="280"/>
      <c r="G327" s="280"/>
      <c r="H327" s="280"/>
      <c r="I327" s="280"/>
      <c r="J327" s="280"/>
      <c r="K327" s="280"/>
      <c r="L327" s="280"/>
      <c r="M327" s="280"/>
      <c r="N327" s="280"/>
      <c r="O327" s="280"/>
      <c r="P327" s="280"/>
      <c r="Q327" s="280"/>
      <c r="R327" s="280"/>
      <c r="S327" s="280"/>
      <c r="T327" s="280"/>
      <c r="U327" s="280"/>
      <c r="V327" s="280"/>
      <c r="W327" s="280"/>
      <c r="X327" s="280"/>
      <c r="Y327" s="280"/>
      <c r="Z327" s="280"/>
      <c r="AA327" s="280"/>
      <c r="AB327" s="280"/>
      <c r="AC327" s="280"/>
      <c r="AD327" s="280"/>
      <c r="AE327" s="280"/>
      <c r="AF327" s="280"/>
      <c r="AG327" s="280"/>
      <c r="AH327" s="280"/>
      <c r="AI327" s="280"/>
      <c r="AJ327" s="280"/>
      <c r="AK327" s="280"/>
      <c r="AL327" s="280"/>
      <c r="AM327" s="280"/>
      <c r="AN327" s="280"/>
      <c r="AO327" s="280"/>
      <c r="AP327" s="280"/>
      <c r="AQ327" s="280"/>
      <c r="AR327" s="280"/>
      <c r="AS327" s="280"/>
      <c r="AT327" s="280"/>
      <c r="AU327" s="280"/>
      <c r="AV327" s="280"/>
      <c r="AW327" s="280"/>
      <c r="AX327" s="280"/>
      <c r="AY327" s="280"/>
      <c r="AZ327" s="280"/>
      <c r="BA327" s="280"/>
      <c r="BB327" s="280"/>
      <c r="BC327" s="280"/>
      <c r="BD327" s="280"/>
      <c r="BE327" s="280"/>
      <c r="BF327" s="280"/>
      <c r="BG327" s="280"/>
      <c r="BH327" s="280"/>
      <c r="BI327" s="280"/>
      <c r="BJ327" s="280"/>
      <c r="BK327" s="280"/>
      <c r="BL327" s="280"/>
      <c r="BM327" s="280"/>
      <c r="BN327" s="280"/>
      <c r="BO327" s="280"/>
      <c r="BP327" s="280"/>
      <c r="BQ327" s="280"/>
      <c r="BR327" s="280"/>
      <c r="BS327" s="280"/>
      <c r="BT327" s="280"/>
      <c r="BU327" s="280"/>
      <c r="BV327" s="280"/>
    </row>
    <row r="328" spans="2:74" x14ac:dyDescent="0.2">
      <c r="B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0"/>
      <c r="AL328" s="280"/>
      <c r="AM328" s="280"/>
      <c r="AN328" s="280"/>
      <c r="AO328" s="280"/>
      <c r="AP328" s="280"/>
      <c r="AQ328" s="280"/>
      <c r="AR328" s="280"/>
      <c r="AS328" s="280"/>
      <c r="AT328" s="280"/>
      <c r="AU328" s="280"/>
      <c r="AV328" s="280"/>
      <c r="AW328" s="280"/>
      <c r="AX328" s="280"/>
      <c r="AY328" s="280"/>
      <c r="AZ328" s="280"/>
      <c r="BA328" s="280"/>
      <c r="BB328" s="280"/>
      <c r="BC328" s="280"/>
      <c r="BD328" s="280"/>
      <c r="BE328" s="280"/>
      <c r="BF328" s="280"/>
      <c r="BG328" s="280"/>
      <c r="BH328" s="280"/>
      <c r="BI328" s="280"/>
      <c r="BJ328" s="280"/>
      <c r="BK328" s="280"/>
      <c r="BL328" s="280"/>
      <c r="BM328" s="280"/>
      <c r="BN328" s="280"/>
      <c r="BO328" s="280"/>
      <c r="BP328" s="280"/>
      <c r="BQ328" s="280"/>
      <c r="BR328" s="280"/>
      <c r="BS328" s="280"/>
      <c r="BT328" s="280"/>
      <c r="BU328" s="280"/>
      <c r="BV328" s="280"/>
    </row>
    <row r="329" spans="2:74" x14ac:dyDescent="0.2">
      <c r="B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280"/>
      <c r="AC329" s="280"/>
      <c r="AD329" s="280"/>
      <c r="AE329" s="280"/>
      <c r="AF329" s="280"/>
      <c r="AG329" s="280"/>
      <c r="AH329" s="280"/>
      <c r="AI329" s="280"/>
      <c r="AJ329" s="280"/>
      <c r="AK329" s="280"/>
      <c r="AL329" s="280"/>
      <c r="AM329" s="280"/>
      <c r="AN329" s="280"/>
      <c r="AO329" s="280"/>
      <c r="AP329" s="280"/>
      <c r="AQ329" s="280"/>
      <c r="AR329" s="280"/>
      <c r="AS329" s="280"/>
      <c r="AT329" s="280"/>
      <c r="AU329" s="280"/>
      <c r="AV329" s="280"/>
      <c r="AW329" s="280"/>
      <c r="AX329" s="280"/>
      <c r="AY329" s="280"/>
      <c r="AZ329" s="280"/>
      <c r="BA329" s="280"/>
      <c r="BB329" s="280"/>
      <c r="BC329" s="280"/>
      <c r="BD329" s="280"/>
      <c r="BE329" s="280"/>
      <c r="BF329" s="280"/>
      <c r="BG329" s="280"/>
      <c r="BH329" s="280"/>
      <c r="BI329" s="280"/>
      <c r="BJ329" s="280"/>
      <c r="BK329" s="280"/>
      <c r="BL329" s="280"/>
      <c r="BM329" s="280"/>
      <c r="BN329" s="280"/>
      <c r="BO329" s="280"/>
      <c r="BP329" s="280"/>
      <c r="BQ329" s="280"/>
      <c r="BR329" s="280"/>
      <c r="BS329" s="280"/>
      <c r="BT329" s="280"/>
      <c r="BU329" s="280"/>
      <c r="BV329" s="280"/>
    </row>
    <row r="330" spans="2:74" x14ac:dyDescent="0.2">
      <c r="B330" s="280"/>
      <c r="D330" s="280"/>
      <c r="E330" s="280"/>
      <c r="F330" s="280"/>
      <c r="G330" s="280"/>
      <c r="H330" s="280"/>
      <c r="I330" s="280"/>
      <c r="J330" s="280"/>
      <c r="K330" s="280"/>
      <c r="L330" s="280"/>
      <c r="M330" s="280"/>
      <c r="N330" s="280"/>
      <c r="O330" s="280"/>
      <c r="P330" s="280"/>
      <c r="Q330" s="280"/>
      <c r="R330" s="280"/>
      <c r="S330" s="280"/>
      <c r="T330" s="280"/>
      <c r="U330" s="280"/>
      <c r="V330" s="280"/>
      <c r="W330" s="280"/>
      <c r="X330" s="280"/>
      <c r="Y330" s="280"/>
      <c r="Z330" s="280"/>
      <c r="AA330" s="280"/>
      <c r="AB330" s="280"/>
      <c r="AC330" s="280"/>
      <c r="AD330" s="280"/>
      <c r="AE330" s="280"/>
      <c r="AF330" s="280"/>
      <c r="AG330" s="280"/>
      <c r="AH330" s="280"/>
      <c r="AI330" s="280"/>
      <c r="AJ330" s="280"/>
      <c r="AK330" s="280"/>
      <c r="AL330" s="280"/>
      <c r="AM330" s="280"/>
      <c r="AN330" s="280"/>
      <c r="AO330" s="280"/>
      <c r="AP330" s="280"/>
      <c r="AQ330" s="280"/>
      <c r="AR330" s="280"/>
      <c r="AS330" s="280"/>
      <c r="AT330" s="280"/>
      <c r="AU330" s="280"/>
      <c r="AV330" s="280"/>
      <c r="AW330" s="280"/>
      <c r="AX330" s="280"/>
      <c r="AY330" s="280"/>
      <c r="AZ330" s="280"/>
      <c r="BA330" s="280"/>
      <c r="BB330" s="280"/>
      <c r="BC330" s="280"/>
      <c r="BD330" s="280"/>
      <c r="BE330" s="280"/>
      <c r="BF330" s="280"/>
      <c r="BG330" s="280"/>
      <c r="BH330" s="280"/>
      <c r="BI330" s="280"/>
      <c r="BJ330" s="280"/>
      <c r="BK330" s="280"/>
      <c r="BL330" s="280"/>
      <c r="BM330" s="280"/>
      <c r="BN330" s="280"/>
      <c r="BO330" s="280"/>
      <c r="BP330" s="280"/>
      <c r="BQ330" s="280"/>
      <c r="BR330" s="280"/>
      <c r="BS330" s="280"/>
      <c r="BT330" s="280"/>
      <c r="BU330" s="280"/>
      <c r="BV330" s="280"/>
    </row>
    <row r="331" spans="2:74" x14ac:dyDescent="0.2">
      <c r="B331" s="280"/>
      <c r="D331" s="280"/>
      <c r="E331" s="280"/>
      <c r="F331" s="280"/>
      <c r="G331" s="280"/>
      <c r="H331" s="280"/>
      <c r="I331" s="280"/>
      <c r="J331" s="280"/>
      <c r="K331" s="280"/>
      <c r="L331" s="280"/>
      <c r="M331" s="280"/>
      <c r="N331" s="280"/>
      <c r="O331" s="280"/>
      <c r="P331" s="280"/>
      <c r="Q331" s="280"/>
      <c r="R331" s="280"/>
      <c r="S331" s="280"/>
      <c r="T331" s="280"/>
      <c r="U331" s="280"/>
      <c r="V331" s="280"/>
      <c r="W331" s="280"/>
      <c r="X331" s="280"/>
      <c r="Y331" s="280"/>
      <c r="Z331" s="280"/>
      <c r="AA331" s="280"/>
      <c r="AB331" s="280"/>
      <c r="AC331" s="280"/>
      <c r="AD331" s="280"/>
      <c r="AE331" s="280"/>
      <c r="AF331" s="280"/>
      <c r="AG331" s="280"/>
      <c r="AH331" s="280"/>
      <c r="AI331" s="280"/>
      <c r="AJ331" s="280"/>
      <c r="AK331" s="280"/>
      <c r="AL331" s="280"/>
      <c r="AM331" s="280"/>
      <c r="AN331" s="280"/>
      <c r="AO331" s="280"/>
      <c r="AP331" s="280"/>
      <c r="AQ331" s="280"/>
      <c r="AR331" s="280"/>
      <c r="AS331" s="280"/>
      <c r="AT331" s="280"/>
      <c r="AU331" s="280"/>
      <c r="AV331" s="280"/>
      <c r="AW331" s="280"/>
      <c r="AX331" s="280"/>
      <c r="AY331" s="280"/>
      <c r="AZ331" s="280"/>
      <c r="BA331" s="280"/>
      <c r="BB331" s="280"/>
      <c r="BC331" s="280"/>
      <c r="BD331" s="280"/>
      <c r="BE331" s="280"/>
      <c r="BF331" s="280"/>
      <c r="BG331" s="280"/>
      <c r="BH331" s="280"/>
      <c r="BI331" s="280"/>
      <c r="BJ331" s="280"/>
      <c r="BK331" s="280"/>
      <c r="BL331" s="280"/>
      <c r="BM331" s="280"/>
      <c r="BN331" s="280"/>
      <c r="BO331" s="280"/>
      <c r="BP331" s="280"/>
      <c r="BQ331" s="280"/>
      <c r="BR331" s="280"/>
      <c r="BS331" s="280"/>
      <c r="BT331" s="280"/>
      <c r="BU331" s="280"/>
      <c r="BV331" s="280"/>
    </row>
    <row r="332" spans="2:74" x14ac:dyDescent="0.2">
      <c r="B332" s="280"/>
      <c r="D332" s="280"/>
      <c r="E332" s="280"/>
      <c r="F332" s="280"/>
      <c r="G332" s="280"/>
      <c r="H332" s="280"/>
      <c r="I332" s="280"/>
      <c r="J332" s="280"/>
      <c r="K332" s="280"/>
      <c r="L332" s="280"/>
      <c r="M332" s="280"/>
      <c r="N332" s="280"/>
      <c r="O332" s="280"/>
      <c r="P332" s="280"/>
      <c r="Q332" s="280"/>
      <c r="R332" s="280"/>
      <c r="S332" s="280"/>
      <c r="T332" s="280"/>
      <c r="U332" s="280"/>
      <c r="V332" s="280"/>
      <c r="W332" s="280"/>
      <c r="X332" s="280"/>
      <c r="Y332" s="280"/>
      <c r="Z332" s="280"/>
      <c r="AA332" s="280"/>
      <c r="AB332" s="280"/>
      <c r="AC332" s="280"/>
      <c r="AD332" s="280"/>
      <c r="AE332" s="280"/>
      <c r="AF332" s="280"/>
      <c r="AG332" s="280"/>
      <c r="AH332" s="280"/>
      <c r="AI332" s="280"/>
      <c r="AJ332" s="280"/>
      <c r="AK332" s="280"/>
      <c r="AL332" s="280"/>
      <c r="AM332" s="280"/>
      <c r="AN332" s="280"/>
      <c r="AO332" s="280"/>
      <c r="AP332" s="280"/>
      <c r="AQ332" s="280"/>
      <c r="AR332" s="280"/>
      <c r="AS332" s="280"/>
      <c r="AT332" s="280"/>
      <c r="AU332" s="280"/>
      <c r="AV332" s="280"/>
      <c r="AW332" s="280"/>
      <c r="AX332" s="280"/>
      <c r="AY332" s="280"/>
      <c r="AZ332" s="280"/>
      <c r="BA332" s="280"/>
      <c r="BB332" s="280"/>
      <c r="BC332" s="280"/>
      <c r="BD332" s="280"/>
      <c r="BE332" s="280"/>
      <c r="BF332" s="280"/>
      <c r="BG332" s="280"/>
      <c r="BH332" s="280"/>
      <c r="BI332" s="280"/>
      <c r="BJ332" s="280"/>
      <c r="BK332" s="280"/>
      <c r="BL332" s="280"/>
      <c r="BM332" s="280"/>
      <c r="BN332" s="280"/>
      <c r="BO332" s="280"/>
      <c r="BP332" s="280"/>
      <c r="BQ332" s="280"/>
      <c r="BR332" s="280"/>
      <c r="BS332" s="280"/>
      <c r="BT332" s="280"/>
      <c r="BU332" s="280"/>
      <c r="BV332" s="280"/>
    </row>
    <row r="333" spans="2:74" x14ac:dyDescent="0.2">
      <c r="B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c r="AK333" s="280"/>
      <c r="AL333" s="280"/>
      <c r="AM333" s="280"/>
      <c r="AN333" s="280"/>
      <c r="AO333" s="280"/>
      <c r="AP333" s="280"/>
      <c r="AQ333" s="280"/>
      <c r="AR333" s="280"/>
      <c r="AS333" s="280"/>
      <c r="AT333" s="280"/>
      <c r="AU333" s="280"/>
      <c r="AV333" s="280"/>
      <c r="AW333" s="280"/>
      <c r="AX333" s="280"/>
      <c r="AY333" s="280"/>
      <c r="AZ333" s="280"/>
      <c r="BA333" s="280"/>
      <c r="BB333" s="280"/>
      <c r="BC333" s="280"/>
      <c r="BD333" s="280"/>
      <c r="BE333" s="280"/>
      <c r="BF333" s="280"/>
      <c r="BG333" s="280"/>
      <c r="BH333" s="280"/>
      <c r="BI333" s="280"/>
      <c r="BJ333" s="280"/>
      <c r="BK333" s="280"/>
      <c r="BL333" s="280"/>
      <c r="BM333" s="280"/>
      <c r="BN333" s="280"/>
      <c r="BO333" s="280"/>
      <c r="BP333" s="280"/>
      <c r="BQ333" s="280"/>
      <c r="BR333" s="280"/>
      <c r="BS333" s="280"/>
      <c r="BT333" s="280"/>
      <c r="BU333" s="280"/>
      <c r="BV333" s="280"/>
    </row>
    <row r="334" spans="2:74" x14ac:dyDescent="0.2">
      <c r="B334" s="280"/>
      <c r="D334" s="280"/>
      <c r="E334" s="280"/>
      <c r="F334" s="280"/>
      <c r="G334" s="280"/>
      <c r="H334" s="280"/>
      <c r="I334" s="280"/>
      <c r="J334" s="280"/>
      <c r="K334" s="280"/>
      <c r="L334" s="280"/>
      <c r="M334" s="280"/>
      <c r="N334" s="280"/>
      <c r="O334" s="280"/>
      <c r="P334" s="280"/>
      <c r="Q334" s="280"/>
      <c r="R334" s="280"/>
      <c r="S334" s="280"/>
      <c r="T334" s="280"/>
      <c r="U334" s="280"/>
      <c r="V334" s="280"/>
      <c r="W334" s="280"/>
      <c r="X334" s="280"/>
      <c r="Y334" s="280"/>
      <c r="Z334" s="280"/>
      <c r="AA334" s="280"/>
      <c r="AB334" s="280"/>
      <c r="AC334" s="280"/>
      <c r="AD334" s="280"/>
      <c r="AE334" s="280"/>
      <c r="AF334" s="280"/>
      <c r="AG334" s="280"/>
      <c r="AH334" s="280"/>
      <c r="AI334" s="280"/>
      <c r="AJ334" s="280"/>
      <c r="AK334" s="280"/>
      <c r="AL334" s="280"/>
      <c r="AM334" s="280"/>
      <c r="AN334" s="280"/>
      <c r="AO334" s="280"/>
      <c r="AP334" s="280"/>
      <c r="AQ334" s="280"/>
      <c r="AR334" s="280"/>
      <c r="AS334" s="280"/>
      <c r="AT334" s="280"/>
      <c r="AU334" s="280"/>
      <c r="AV334" s="280"/>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row>
    <row r="335" spans="2:74" x14ac:dyDescent="0.2">
      <c r="B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c r="AK335" s="280"/>
      <c r="AL335" s="280"/>
      <c r="AM335" s="280"/>
      <c r="AN335" s="280"/>
      <c r="AO335" s="280"/>
      <c r="AP335" s="280"/>
      <c r="AQ335" s="280"/>
      <c r="AR335" s="280"/>
      <c r="AS335" s="280"/>
      <c r="AT335" s="280"/>
      <c r="AU335" s="280"/>
      <c r="AV335" s="280"/>
      <c r="AW335" s="280"/>
      <c r="AX335" s="280"/>
      <c r="AY335" s="280"/>
      <c r="AZ335" s="280"/>
      <c r="BA335" s="280"/>
      <c r="BB335" s="280"/>
      <c r="BC335" s="280"/>
      <c r="BD335" s="280"/>
      <c r="BE335" s="280"/>
      <c r="BF335" s="280"/>
      <c r="BG335" s="280"/>
      <c r="BH335" s="280"/>
      <c r="BI335" s="280"/>
      <c r="BJ335" s="280"/>
      <c r="BK335" s="280"/>
      <c r="BL335" s="280"/>
      <c r="BM335" s="280"/>
      <c r="BN335" s="280"/>
      <c r="BO335" s="280"/>
      <c r="BP335" s="280"/>
      <c r="BQ335" s="280"/>
      <c r="BR335" s="280"/>
      <c r="BS335" s="280"/>
      <c r="BT335" s="280"/>
      <c r="BU335" s="280"/>
      <c r="BV335" s="280"/>
    </row>
    <row r="336" spans="2:74" x14ac:dyDescent="0.2">
      <c r="B336" s="280"/>
      <c r="D336" s="280"/>
      <c r="E336" s="280"/>
      <c r="F336" s="280"/>
      <c r="G336" s="280"/>
      <c r="H336" s="280"/>
      <c r="I336" s="280"/>
      <c r="J336" s="280"/>
      <c r="K336" s="280"/>
      <c r="L336" s="280"/>
      <c r="M336" s="280"/>
      <c r="N336" s="280"/>
      <c r="O336" s="280"/>
      <c r="P336" s="280"/>
      <c r="Q336" s="280"/>
      <c r="R336" s="280"/>
      <c r="S336" s="280"/>
      <c r="T336" s="280"/>
      <c r="U336" s="280"/>
      <c r="V336" s="280"/>
      <c r="W336" s="280"/>
      <c r="X336" s="280"/>
      <c r="Y336" s="280"/>
      <c r="Z336" s="280"/>
      <c r="AA336" s="280"/>
      <c r="AB336" s="280"/>
      <c r="AC336" s="280"/>
      <c r="AD336" s="280"/>
      <c r="AE336" s="280"/>
      <c r="AF336" s="280"/>
      <c r="AG336" s="280"/>
      <c r="AH336" s="280"/>
      <c r="AI336" s="280"/>
      <c r="AJ336" s="280"/>
      <c r="AK336" s="280"/>
      <c r="AL336" s="280"/>
      <c r="AM336" s="280"/>
      <c r="AN336" s="280"/>
      <c r="AO336" s="280"/>
      <c r="AP336" s="280"/>
      <c r="AQ336" s="280"/>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c r="BT336" s="280"/>
      <c r="BU336" s="280"/>
      <c r="BV336" s="280"/>
    </row>
    <row r="337" spans="2:74" x14ac:dyDescent="0.2">
      <c r="B337" s="280"/>
      <c r="D337" s="280"/>
      <c r="E337" s="280"/>
      <c r="F337" s="280"/>
      <c r="G337" s="280"/>
      <c r="H337" s="280"/>
      <c r="I337" s="280"/>
      <c r="J337" s="280"/>
      <c r="K337" s="280"/>
      <c r="L337" s="280"/>
      <c r="M337" s="280"/>
      <c r="N337" s="280"/>
      <c r="O337" s="280"/>
      <c r="P337" s="280"/>
      <c r="Q337" s="280"/>
      <c r="R337" s="280"/>
      <c r="S337" s="280"/>
      <c r="T337" s="280"/>
      <c r="U337" s="280"/>
      <c r="V337" s="280"/>
      <c r="W337" s="280"/>
      <c r="X337" s="280"/>
      <c r="Y337" s="280"/>
      <c r="Z337" s="280"/>
      <c r="AA337" s="280"/>
      <c r="AB337" s="280"/>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c r="BT337" s="280"/>
      <c r="BU337" s="280"/>
      <c r="BV337" s="280"/>
    </row>
    <row r="338" spans="2:74" x14ac:dyDescent="0.2">
      <c r="B338" s="280"/>
      <c r="D338" s="280"/>
      <c r="E338" s="280"/>
      <c r="F338" s="280"/>
      <c r="G338" s="280"/>
      <c r="H338" s="280"/>
      <c r="I338" s="280"/>
      <c r="J338" s="280"/>
      <c r="K338" s="280"/>
      <c r="L338" s="280"/>
      <c r="M338" s="280"/>
      <c r="N338" s="280"/>
      <c r="O338" s="280"/>
      <c r="P338" s="280"/>
      <c r="Q338" s="280"/>
      <c r="R338" s="280"/>
      <c r="S338" s="280"/>
      <c r="T338" s="280"/>
      <c r="U338" s="280"/>
      <c r="V338" s="280"/>
      <c r="W338" s="280"/>
      <c r="X338" s="280"/>
      <c r="Y338" s="280"/>
      <c r="Z338" s="280"/>
      <c r="AA338" s="280"/>
      <c r="AB338" s="280"/>
      <c r="AC338" s="280"/>
      <c r="AD338" s="280"/>
      <c r="AE338" s="280"/>
      <c r="AF338" s="280"/>
      <c r="AG338" s="280"/>
      <c r="AH338" s="280"/>
      <c r="AI338" s="280"/>
      <c r="AJ338" s="280"/>
      <c r="AK338" s="280"/>
      <c r="AL338" s="280"/>
      <c r="AM338" s="280"/>
      <c r="AN338" s="280"/>
      <c r="AO338" s="280"/>
      <c r="AP338" s="280"/>
      <c r="AQ338" s="280"/>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280"/>
      <c r="BM338" s="280"/>
      <c r="BN338" s="280"/>
      <c r="BO338" s="280"/>
      <c r="BP338" s="280"/>
      <c r="BQ338" s="280"/>
      <c r="BR338" s="280"/>
      <c r="BS338" s="280"/>
      <c r="BT338" s="280"/>
      <c r="BU338" s="280"/>
      <c r="BV338" s="280"/>
    </row>
    <row r="339" spans="2:74" x14ac:dyDescent="0.2">
      <c r="B339" s="280"/>
      <c r="D339" s="280"/>
      <c r="E339" s="280"/>
      <c r="F339" s="280"/>
      <c r="G339" s="280"/>
      <c r="H339" s="280"/>
      <c r="I339" s="280"/>
      <c r="J339" s="280"/>
      <c r="K339" s="280"/>
      <c r="L339" s="280"/>
      <c r="M339" s="280"/>
      <c r="N339" s="280"/>
      <c r="O339" s="280"/>
      <c r="P339" s="280"/>
      <c r="Q339" s="280"/>
      <c r="R339" s="280"/>
      <c r="S339" s="280"/>
      <c r="T339" s="280"/>
      <c r="U339" s="280"/>
      <c r="V339" s="280"/>
      <c r="W339" s="280"/>
      <c r="X339" s="280"/>
      <c r="Y339" s="280"/>
      <c r="Z339" s="280"/>
      <c r="AA339" s="280"/>
      <c r="AB339" s="280"/>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c r="BT339" s="280"/>
      <c r="BU339" s="280"/>
      <c r="BV339" s="280"/>
    </row>
    <row r="340" spans="2:74" x14ac:dyDescent="0.2">
      <c r="B340" s="280"/>
      <c r="D340" s="280"/>
      <c r="E340" s="280"/>
      <c r="F340" s="280"/>
      <c r="G340" s="280"/>
      <c r="H340" s="280"/>
      <c r="I340" s="280"/>
      <c r="J340" s="280"/>
      <c r="K340" s="280"/>
      <c r="L340" s="280"/>
      <c r="M340" s="280"/>
      <c r="N340" s="280"/>
      <c r="O340" s="280"/>
      <c r="P340" s="280"/>
      <c r="Q340" s="280"/>
      <c r="R340" s="280"/>
      <c r="S340" s="280"/>
      <c r="T340" s="280"/>
      <c r="U340" s="280"/>
      <c r="V340" s="280"/>
      <c r="W340" s="280"/>
      <c r="X340" s="280"/>
      <c r="Y340" s="280"/>
      <c r="Z340" s="280"/>
      <c r="AA340" s="280"/>
      <c r="AB340" s="280"/>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c r="BT340" s="280"/>
      <c r="BU340" s="280"/>
      <c r="BV340" s="280"/>
    </row>
    <row r="341" spans="2:74" x14ac:dyDescent="0.2">
      <c r="B341" s="280"/>
      <c r="D341" s="280"/>
      <c r="E341" s="280"/>
      <c r="F341" s="280"/>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0"/>
      <c r="AL341" s="280"/>
      <c r="AM341" s="280"/>
      <c r="AN341" s="280"/>
      <c r="AO341" s="280"/>
      <c r="AP341" s="280"/>
      <c r="AQ341" s="280"/>
      <c r="AR341" s="280"/>
      <c r="AS341" s="280"/>
      <c r="AT341" s="280"/>
      <c r="AU341" s="280"/>
      <c r="AV341" s="280"/>
      <c r="AW341" s="280"/>
      <c r="AX341" s="280"/>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row>
    <row r="342" spans="2:74" x14ac:dyDescent="0.2">
      <c r="B342" s="280"/>
      <c r="D342" s="280"/>
      <c r="E342" s="280"/>
      <c r="F342" s="280"/>
      <c r="G342" s="280"/>
      <c r="H342" s="280"/>
      <c r="I342" s="280"/>
      <c r="J342" s="280"/>
      <c r="K342" s="280"/>
      <c r="L342" s="280"/>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c r="AH342" s="280"/>
      <c r="AI342" s="280"/>
      <c r="AJ342" s="280"/>
      <c r="AK342" s="280"/>
      <c r="AL342" s="280"/>
      <c r="AM342" s="280"/>
      <c r="AN342" s="280"/>
      <c r="AO342" s="280"/>
      <c r="AP342" s="280"/>
      <c r="AQ342" s="280"/>
      <c r="AR342" s="280"/>
      <c r="AS342" s="280"/>
      <c r="AT342" s="280"/>
      <c r="AU342" s="280"/>
      <c r="AV342" s="280"/>
      <c r="AW342" s="280"/>
      <c r="AX342" s="280"/>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row>
    <row r="343" spans="2:74" x14ac:dyDescent="0.2">
      <c r="B343" s="280"/>
      <c r="D343" s="280"/>
      <c r="E343" s="280"/>
      <c r="F343" s="280"/>
      <c r="G343" s="280"/>
      <c r="H343" s="280"/>
      <c r="I343" s="280"/>
      <c r="J343" s="280"/>
      <c r="K343" s="280"/>
      <c r="L343" s="280"/>
      <c r="M343" s="280"/>
      <c r="N343" s="280"/>
      <c r="O343" s="280"/>
      <c r="P343" s="280"/>
      <c r="Q343" s="280"/>
      <c r="R343" s="280"/>
      <c r="S343" s="280"/>
      <c r="T343" s="280"/>
      <c r="U343" s="280"/>
      <c r="V343" s="280"/>
      <c r="W343" s="280"/>
      <c r="X343" s="280"/>
      <c r="Y343" s="280"/>
      <c r="Z343" s="280"/>
      <c r="AA343" s="280"/>
      <c r="AB343" s="280"/>
      <c r="AC343" s="280"/>
      <c r="AD343" s="280"/>
      <c r="AE343" s="280"/>
      <c r="AF343" s="280"/>
      <c r="AG343" s="280"/>
      <c r="AH343" s="280"/>
      <c r="AI343" s="280"/>
      <c r="AJ343" s="280"/>
      <c r="AK343" s="280"/>
      <c r="AL343" s="280"/>
      <c r="AM343" s="280"/>
      <c r="AN343" s="280"/>
      <c r="AO343" s="280"/>
      <c r="AP343" s="280"/>
      <c r="AQ343" s="280"/>
      <c r="AR343" s="280"/>
      <c r="AS343" s="280"/>
      <c r="AT343" s="280"/>
      <c r="AU343" s="280"/>
      <c r="AV343" s="280"/>
      <c r="AW343" s="280"/>
      <c r="AX343" s="280"/>
      <c r="AY343" s="280"/>
      <c r="AZ343" s="280"/>
      <c r="BA343" s="280"/>
      <c r="BB343" s="280"/>
      <c r="BC343" s="280"/>
      <c r="BD343" s="280"/>
      <c r="BE343" s="280"/>
      <c r="BF343" s="280"/>
      <c r="BG343" s="280"/>
      <c r="BH343" s="280"/>
      <c r="BI343" s="280"/>
      <c r="BJ343" s="280"/>
      <c r="BK343" s="280"/>
      <c r="BL343" s="280"/>
      <c r="BM343" s="280"/>
      <c r="BN343" s="280"/>
      <c r="BO343" s="280"/>
      <c r="BP343" s="280"/>
      <c r="BQ343" s="280"/>
      <c r="BR343" s="280"/>
      <c r="BS343" s="280"/>
      <c r="BT343" s="280"/>
      <c r="BU343" s="280"/>
      <c r="BV343" s="280"/>
    </row>
    <row r="344" spans="2:74" x14ac:dyDescent="0.2">
      <c r="B344" s="280"/>
      <c r="D344" s="280"/>
      <c r="E344" s="280"/>
      <c r="F344" s="280"/>
      <c r="G344" s="280"/>
      <c r="H344" s="280"/>
      <c r="I344" s="280"/>
      <c r="J344" s="280"/>
      <c r="K344" s="280"/>
      <c r="L344" s="280"/>
      <c r="M344" s="280"/>
      <c r="N344" s="280"/>
      <c r="O344" s="280"/>
      <c r="P344" s="280"/>
      <c r="Q344" s="280"/>
      <c r="R344" s="280"/>
      <c r="S344" s="280"/>
      <c r="T344" s="280"/>
      <c r="U344" s="280"/>
      <c r="V344" s="280"/>
      <c r="W344" s="280"/>
      <c r="X344" s="280"/>
      <c r="Y344" s="280"/>
      <c r="Z344" s="280"/>
      <c r="AA344" s="280"/>
      <c r="AB344" s="280"/>
      <c r="AC344" s="280"/>
      <c r="AD344" s="280"/>
      <c r="AE344" s="280"/>
      <c r="AF344" s="280"/>
      <c r="AG344" s="280"/>
      <c r="AH344" s="280"/>
      <c r="AI344" s="280"/>
      <c r="AJ344" s="280"/>
      <c r="AK344" s="280"/>
      <c r="AL344" s="280"/>
      <c r="AM344" s="280"/>
      <c r="AN344" s="280"/>
      <c r="AO344" s="280"/>
      <c r="AP344" s="280"/>
      <c r="AQ344" s="280"/>
      <c r="AR344" s="280"/>
      <c r="AS344" s="280"/>
      <c r="AT344" s="280"/>
      <c r="AU344" s="280"/>
      <c r="AV344" s="280"/>
      <c r="AW344" s="280"/>
      <c r="AX344" s="280"/>
      <c r="AY344" s="280"/>
      <c r="AZ344" s="280"/>
      <c r="BA344" s="280"/>
      <c r="BB344" s="280"/>
      <c r="BC344" s="280"/>
      <c r="BD344" s="280"/>
      <c r="BE344" s="280"/>
      <c r="BF344" s="280"/>
      <c r="BG344" s="280"/>
      <c r="BH344" s="280"/>
      <c r="BI344" s="280"/>
      <c r="BJ344" s="280"/>
      <c r="BK344" s="280"/>
      <c r="BL344" s="280"/>
      <c r="BM344" s="280"/>
      <c r="BN344" s="280"/>
      <c r="BO344" s="280"/>
      <c r="BP344" s="280"/>
      <c r="BQ344" s="280"/>
      <c r="BR344" s="280"/>
      <c r="BS344" s="280"/>
      <c r="BT344" s="280"/>
      <c r="BU344" s="280"/>
      <c r="BV344" s="280"/>
    </row>
    <row r="345" spans="2:74" x14ac:dyDescent="0.2">
      <c r="B345" s="280"/>
      <c r="D345" s="280"/>
      <c r="E345" s="280"/>
      <c r="F345" s="280"/>
      <c r="G345" s="280"/>
      <c r="H345" s="280"/>
      <c r="I345" s="280"/>
      <c r="J345" s="280"/>
      <c r="K345" s="280"/>
      <c r="L345" s="280"/>
      <c r="M345" s="280"/>
      <c r="N345" s="280"/>
      <c r="O345" s="280"/>
      <c r="P345" s="280"/>
      <c r="Q345" s="280"/>
      <c r="R345" s="280"/>
      <c r="S345" s="280"/>
      <c r="T345" s="280"/>
      <c r="U345" s="280"/>
      <c r="V345" s="280"/>
      <c r="W345" s="280"/>
      <c r="X345" s="280"/>
      <c r="Y345" s="280"/>
      <c r="Z345" s="280"/>
      <c r="AA345" s="280"/>
      <c r="AB345" s="280"/>
      <c r="AC345" s="280"/>
      <c r="AD345" s="280"/>
      <c r="AE345" s="280"/>
      <c r="AF345" s="280"/>
      <c r="AG345" s="280"/>
      <c r="AH345" s="280"/>
      <c r="AI345" s="280"/>
      <c r="AJ345" s="280"/>
      <c r="AK345" s="280"/>
      <c r="AL345" s="280"/>
      <c r="AM345" s="280"/>
      <c r="AN345" s="280"/>
      <c r="AO345" s="280"/>
      <c r="AP345" s="280"/>
      <c r="AQ345" s="280"/>
      <c r="AR345" s="280"/>
      <c r="AS345" s="280"/>
      <c r="AT345" s="280"/>
      <c r="AU345" s="280"/>
      <c r="AV345" s="280"/>
      <c r="AW345" s="280"/>
      <c r="AX345" s="280"/>
      <c r="AY345" s="280"/>
      <c r="AZ345" s="280"/>
      <c r="BA345" s="280"/>
      <c r="BB345" s="280"/>
      <c r="BC345" s="280"/>
      <c r="BD345" s="280"/>
      <c r="BE345" s="280"/>
      <c r="BF345" s="280"/>
      <c r="BG345" s="280"/>
      <c r="BH345" s="280"/>
      <c r="BI345" s="280"/>
      <c r="BJ345" s="280"/>
      <c r="BK345" s="280"/>
      <c r="BL345" s="280"/>
      <c r="BM345" s="280"/>
      <c r="BN345" s="280"/>
      <c r="BO345" s="280"/>
      <c r="BP345" s="280"/>
      <c r="BQ345" s="280"/>
      <c r="BR345" s="280"/>
      <c r="BS345" s="280"/>
      <c r="BT345" s="280"/>
      <c r="BU345" s="280"/>
      <c r="BV345" s="280"/>
    </row>
    <row r="346" spans="2:74" x14ac:dyDescent="0.2">
      <c r="B346" s="280"/>
      <c r="D346" s="280"/>
      <c r="E346" s="280"/>
      <c r="F346" s="280"/>
      <c r="G346" s="280"/>
      <c r="H346" s="280"/>
      <c r="I346" s="280"/>
      <c r="J346" s="280"/>
      <c r="K346" s="280"/>
      <c r="L346" s="280"/>
      <c r="M346" s="280"/>
      <c r="N346" s="280"/>
      <c r="O346" s="280"/>
      <c r="P346" s="280"/>
      <c r="Q346" s="280"/>
      <c r="R346" s="280"/>
      <c r="S346" s="280"/>
      <c r="T346" s="280"/>
      <c r="U346" s="280"/>
      <c r="V346" s="280"/>
      <c r="W346" s="280"/>
      <c r="X346" s="280"/>
      <c r="Y346" s="280"/>
      <c r="Z346" s="280"/>
      <c r="AA346" s="280"/>
      <c r="AB346" s="280"/>
      <c r="AC346" s="280"/>
      <c r="AD346" s="280"/>
      <c r="AE346" s="280"/>
      <c r="AF346" s="280"/>
      <c r="AG346" s="280"/>
      <c r="AH346" s="280"/>
      <c r="AI346" s="280"/>
      <c r="AJ346" s="280"/>
      <c r="AK346" s="280"/>
      <c r="AL346" s="280"/>
      <c r="AM346" s="280"/>
      <c r="AN346" s="280"/>
      <c r="AO346" s="280"/>
      <c r="AP346" s="280"/>
      <c r="AQ346" s="280"/>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c r="BO346" s="280"/>
      <c r="BP346" s="280"/>
      <c r="BQ346" s="280"/>
      <c r="BR346" s="280"/>
      <c r="BS346" s="280"/>
      <c r="BT346" s="280"/>
      <c r="BU346" s="280"/>
      <c r="BV346" s="280"/>
    </row>
    <row r="347" spans="2:74" x14ac:dyDescent="0.2">
      <c r="B347" s="280"/>
      <c r="D347" s="280"/>
      <c r="E347" s="280"/>
      <c r="F347" s="280"/>
      <c r="G347" s="280"/>
      <c r="H347" s="280"/>
      <c r="I347" s="280"/>
      <c r="J347" s="280"/>
      <c r="K347" s="280"/>
      <c r="L347" s="280"/>
      <c r="M347" s="280"/>
      <c r="N347" s="280"/>
      <c r="O347" s="280"/>
      <c r="P347" s="280"/>
      <c r="Q347" s="280"/>
      <c r="R347" s="280"/>
      <c r="S347" s="280"/>
      <c r="T347" s="280"/>
      <c r="U347" s="280"/>
      <c r="V347" s="280"/>
      <c r="W347" s="280"/>
      <c r="X347" s="280"/>
      <c r="Y347" s="280"/>
      <c r="Z347" s="280"/>
      <c r="AA347" s="280"/>
      <c r="AB347" s="280"/>
      <c r="AC347" s="280"/>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row>
    <row r="348" spans="2:74" x14ac:dyDescent="0.2">
      <c r="B348" s="280"/>
      <c r="D348" s="280"/>
      <c r="E348" s="280"/>
      <c r="F348" s="280"/>
      <c r="G348" s="280"/>
      <c r="H348" s="280"/>
      <c r="I348" s="280"/>
      <c r="J348" s="280"/>
      <c r="K348" s="280"/>
      <c r="L348" s="280"/>
      <c r="M348" s="280"/>
      <c r="N348" s="280"/>
      <c r="O348" s="280"/>
      <c r="P348" s="280"/>
      <c r="Q348" s="280"/>
      <c r="R348" s="280"/>
      <c r="S348" s="280"/>
      <c r="T348" s="280"/>
      <c r="U348" s="280"/>
      <c r="V348" s="280"/>
      <c r="W348" s="280"/>
      <c r="X348" s="280"/>
      <c r="Y348" s="280"/>
      <c r="Z348" s="280"/>
      <c r="AA348" s="280"/>
      <c r="AB348" s="280"/>
      <c r="AC348" s="280"/>
      <c r="AD348" s="280"/>
      <c r="AE348" s="280"/>
      <c r="AF348" s="280"/>
      <c r="AG348" s="280"/>
      <c r="AH348" s="280"/>
      <c r="AI348" s="280"/>
      <c r="AJ348" s="280"/>
      <c r="AK348" s="280"/>
      <c r="AL348" s="280"/>
      <c r="AM348" s="280"/>
      <c r="AN348" s="280"/>
      <c r="AO348" s="280"/>
      <c r="AP348" s="280"/>
      <c r="AQ348" s="280"/>
      <c r="AR348" s="280"/>
      <c r="AS348" s="280"/>
      <c r="AT348" s="280"/>
      <c r="AU348" s="280"/>
      <c r="AV348" s="280"/>
      <c r="AW348" s="280"/>
      <c r="AX348" s="280"/>
      <c r="AY348" s="280"/>
      <c r="AZ348" s="280"/>
      <c r="BA348" s="280"/>
      <c r="BB348" s="280"/>
      <c r="BC348" s="280"/>
      <c r="BD348" s="280"/>
      <c r="BE348" s="280"/>
      <c r="BF348" s="280"/>
      <c r="BG348" s="280"/>
      <c r="BH348" s="280"/>
      <c r="BI348" s="280"/>
      <c r="BJ348" s="280"/>
      <c r="BK348" s="280"/>
      <c r="BL348" s="280"/>
      <c r="BM348" s="280"/>
      <c r="BN348" s="280"/>
      <c r="BO348" s="280"/>
      <c r="BP348" s="280"/>
      <c r="BQ348" s="280"/>
      <c r="BR348" s="280"/>
      <c r="BS348" s="280"/>
      <c r="BT348" s="280"/>
      <c r="BU348" s="280"/>
      <c r="BV348" s="280"/>
    </row>
    <row r="349" spans="2:74" x14ac:dyDescent="0.2">
      <c r="B349" s="280"/>
      <c r="D349" s="280"/>
      <c r="E349" s="280"/>
      <c r="F349" s="280"/>
      <c r="G349" s="280"/>
      <c r="H349" s="280"/>
      <c r="I349" s="280"/>
      <c r="J349" s="280"/>
      <c r="K349" s="280"/>
      <c r="L349" s="280"/>
      <c r="M349" s="280"/>
      <c r="N349" s="280"/>
      <c r="O349" s="280"/>
      <c r="P349" s="280"/>
      <c r="Q349" s="280"/>
      <c r="R349" s="280"/>
      <c r="S349" s="280"/>
      <c r="T349" s="280"/>
      <c r="U349" s="280"/>
      <c r="V349" s="280"/>
      <c r="W349" s="280"/>
      <c r="X349" s="280"/>
      <c r="Y349" s="280"/>
      <c r="Z349" s="280"/>
      <c r="AA349" s="280"/>
      <c r="AB349" s="280"/>
      <c r="AC349" s="280"/>
      <c r="AD349" s="280"/>
      <c r="AE349" s="280"/>
      <c r="AF349" s="280"/>
      <c r="AG349" s="280"/>
      <c r="AH349" s="280"/>
      <c r="AI349" s="280"/>
      <c r="AJ349" s="280"/>
      <c r="AK349" s="280"/>
      <c r="AL349" s="280"/>
      <c r="AM349" s="280"/>
      <c r="AN349" s="280"/>
      <c r="AO349" s="280"/>
      <c r="AP349" s="280"/>
      <c r="AQ349" s="280"/>
      <c r="AR349" s="280"/>
      <c r="AS349" s="280"/>
      <c r="AT349" s="280"/>
      <c r="AU349" s="280"/>
      <c r="AV349" s="280"/>
      <c r="AW349" s="280"/>
      <c r="AX349" s="280"/>
      <c r="AY349" s="280"/>
      <c r="AZ349" s="280"/>
      <c r="BA349" s="280"/>
      <c r="BB349" s="280"/>
      <c r="BC349" s="280"/>
      <c r="BD349" s="280"/>
      <c r="BE349" s="280"/>
      <c r="BF349" s="280"/>
      <c r="BG349" s="280"/>
      <c r="BH349" s="280"/>
      <c r="BI349" s="280"/>
      <c r="BJ349" s="280"/>
      <c r="BK349" s="280"/>
      <c r="BL349" s="280"/>
      <c r="BM349" s="280"/>
      <c r="BN349" s="280"/>
      <c r="BO349" s="280"/>
      <c r="BP349" s="280"/>
      <c r="BQ349" s="280"/>
      <c r="BR349" s="280"/>
      <c r="BS349" s="280"/>
      <c r="BT349" s="280"/>
      <c r="BU349" s="280"/>
      <c r="BV349" s="280"/>
    </row>
    <row r="350" spans="2:74" x14ac:dyDescent="0.2">
      <c r="B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0"/>
      <c r="Z350" s="280"/>
      <c r="AA350" s="280"/>
      <c r="AB350" s="280"/>
      <c r="AC350" s="280"/>
      <c r="AD350" s="280"/>
      <c r="AE350" s="280"/>
      <c r="AF350" s="280"/>
      <c r="AG350" s="280"/>
      <c r="AH350" s="280"/>
      <c r="AI350" s="280"/>
      <c r="AJ350" s="280"/>
      <c r="AK350" s="280"/>
      <c r="AL350" s="280"/>
      <c r="AM350" s="280"/>
      <c r="AN350" s="280"/>
      <c r="AO350" s="280"/>
      <c r="AP350" s="280"/>
      <c r="AQ350" s="280"/>
      <c r="AR350" s="280"/>
      <c r="AS350" s="280"/>
      <c r="AT350" s="280"/>
      <c r="AU350" s="280"/>
      <c r="AV350" s="280"/>
      <c r="AW350" s="280"/>
      <c r="AX350" s="280"/>
      <c r="AY350" s="280"/>
      <c r="AZ350" s="280"/>
      <c r="BA350" s="280"/>
      <c r="BB350" s="280"/>
      <c r="BC350" s="280"/>
      <c r="BD350" s="280"/>
      <c r="BE350" s="280"/>
      <c r="BF350" s="280"/>
      <c r="BG350" s="280"/>
      <c r="BH350" s="280"/>
      <c r="BI350" s="280"/>
      <c r="BJ350" s="280"/>
      <c r="BK350" s="280"/>
      <c r="BL350" s="280"/>
      <c r="BM350" s="280"/>
      <c r="BN350" s="280"/>
      <c r="BO350" s="280"/>
      <c r="BP350" s="280"/>
      <c r="BQ350" s="280"/>
      <c r="BR350" s="280"/>
      <c r="BS350" s="280"/>
      <c r="BT350" s="280"/>
      <c r="BU350" s="280"/>
      <c r="BV350" s="280"/>
    </row>
    <row r="351" spans="2:74" x14ac:dyDescent="0.2">
      <c r="B351" s="280"/>
      <c r="D351" s="280"/>
      <c r="E351" s="280"/>
      <c r="F351" s="280"/>
      <c r="G351" s="280"/>
      <c r="H351" s="280"/>
      <c r="I351" s="280"/>
      <c r="J351" s="280"/>
      <c r="K351" s="280"/>
      <c r="L351" s="280"/>
      <c r="M351" s="280"/>
      <c r="N351" s="280"/>
      <c r="O351" s="280"/>
      <c r="P351" s="280"/>
      <c r="Q351" s="280"/>
      <c r="R351" s="280"/>
      <c r="S351" s="280"/>
      <c r="T351" s="280"/>
      <c r="U351" s="280"/>
      <c r="V351" s="280"/>
      <c r="W351" s="280"/>
      <c r="X351" s="280"/>
      <c r="Y351" s="280"/>
      <c r="Z351" s="280"/>
      <c r="AA351" s="280"/>
      <c r="AB351" s="280"/>
      <c r="AC351" s="280"/>
      <c r="AD351" s="280"/>
      <c r="AE351" s="280"/>
      <c r="AF351" s="280"/>
      <c r="AG351" s="280"/>
      <c r="AH351" s="280"/>
      <c r="AI351" s="280"/>
      <c r="AJ351" s="280"/>
      <c r="AK351" s="280"/>
      <c r="AL351" s="280"/>
      <c r="AM351" s="280"/>
      <c r="AN351" s="280"/>
      <c r="AO351" s="280"/>
      <c r="AP351" s="280"/>
      <c r="AQ351" s="280"/>
      <c r="AR351" s="280"/>
      <c r="AS351" s="280"/>
      <c r="AT351" s="280"/>
      <c r="AU351" s="280"/>
      <c r="AV351" s="280"/>
      <c r="AW351" s="280"/>
      <c r="AX351" s="280"/>
      <c r="AY351" s="280"/>
      <c r="AZ351" s="280"/>
      <c r="BA351" s="280"/>
      <c r="BB351" s="280"/>
      <c r="BC351" s="280"/>
      <c r="BD351" s="280"/>
      <c r="BE351" s="280"/>
      <c r="BF351" s="280"/>
      <c r="BG351" s="280"/>
      <c r="BH351" s="280"/>
      <c r="BI351" s="280"/>
      <c r="BJ351" s="280"/>
      <c r="BK351" s="280"/>
      <c r="BL351" s="280"/>
      <c r="BM351" s="280"/>
      <c r="BN351" s="280"/>
      <c r="BO351" s="280"/>
      <c r="BP351" s="280"/>
      <c r="BQ351" s="280"/>
      <c r="BR351" s="280"/>
      <c r="BS351" s="280"/>
      <c r="BT351" s="280"/>
      <c r="BU351" s="280"/>
      <c r="BV351" s="280"/>
    </row>
    <row r="352" spans="2:74" x14ac:dyDescent="0.2">
      <c r="B352" s="280"/>
      <c r="D352" s="280"/>
      <c r="E352" s="280"/>
      <c r="F352" s="280"/>
      <c r="G352" s="280"/>
      <c r="H352" s="280"/>
      <c r="I352" s="280"/>
      <c r="J352" s="280"/>
      <c r="K352" s="280"/>
      <c r="L352" s="280"/>
      <c r="M352" s="280"/>
      <c r="N352" s="280"/>
      <c r="O352" s="280"/>
      <c r="P352" s="280"/>
      <c r="Q352" s="280"/>
      <c r="R352" s="280"/>
      <c r="S352" s="280"/>
      <c r="T352" s="280"/>
      <c r="U352" s="280"/>
      <c r="V352" s="280"/>
      <c r="W352" s="280"/>
      <c r="X352" s="280"/>
      <c r="Y352" s="280"/>
      <c r="Z352" s="280"/>
      <c r="AA352" s="280"/>
      <c r="AB352" s="280"/>
      <c r="AC352" s="280"/>
      <c r="AD352" s="280"/>
      <c r="AE352" s="280"/>
      <c r="AF352" s="280"/>
      <c r="AG352" s="280"/>
      <c r="AH352" s="280"/>
      <c r="AI352" s="280"/>
      <c r="AJ352" s="280"/>
      <c r="AK352" s="280"/>
      <c r="AL352" s="280"/>
      <c r="AM352" s="280"/>
      <c r="AN352" s="280"/>
      <c r="AO352" s="280"/>
      <c r="AP352" s="280"/>
      <c r="AQ352" s="280"/>
      <c r="AR352" s="280"/>
      <c r="AS352" s="280"/>
      <c r="AT352" s="280"/>
      <c r="AU352" s="280"/>
      <c r="AV352" s="280"/>
      <c r="AW352" s="280"/>
      <c r="AX352" s="280"/>
      <c r="AY352" s="280"/>
      <c r="AZ352" s="280"/>
      <c r="BA352" s="280"/>
      <c r="BB352" s="280"/>
      <c r="BC352" s="280"/>
      <c r="BD352" s="280"/>
      <c r="BE352" s="280"/>
      <c r="BF352" s="280"/>
      <c r="BG352" s="280"/>
      <c r="BH352" s="280"/>
      <c r="BI352" s="280"/>
      <c r="BJ352" s="280"/>
      <c r="BK352" s="280"/>
      <c r="BL352" s="280"/>
      <c r="BM352" s="280"/>
      <c r="BN352" s="280"/>
      <c r="BO352" s="280"/>
      <c r="BP352" s="280"/>
      <c r="BQ352" s="280"/>
      <c r="BR352" s="280"/>
      <c r="BS352" s="280"/>
      <c r="BT352" s="280"/>
      <c r="BU352" s="280"/>
      <c r="BV352" s="280"/>
    </row>
    <row r="353" spans="2:74" x14ac:dyDescent="0.2">
      <c r="B353" s="280"/>
      <c r="D353" s="280"/>
      <c r="E353" s="280"/>
      <c r="F353" s="280"/>
      <c r="G353" s="280"/>
      <c r="H353" s="280"/>
      <c r="I353" s="280"/>
      <c r="J353" s="280"/>
      <c r="K353" s="280"/>
      <c r="L353" s="280"/>
      <c r="M353" s="280"/>
      <c r="N353" s="280"/>
      <c r="O353" s="280"/>
      <c r="P353" s="280"/>
      <c r="Q353" s="280"/>
      <c r="R353" s="280"/>
      <c r="S353" s="280"/>
      <c r="T353" s="280"/>
      <c r="U353" s="280"/>
      <c r="V353" s="280"/>
      <c r="W353" s="280"/>
      <c r="X353" s="280"/>
      <c r="Y353" s="280"/>
      <c r="Z353" s="280"/>
      <c r="AA353" s="280"/>
      <c r="AB353" s="280"/>
      <c r="AC353" s="280"/>
      <c r="AD353" s="280"/>
      <c r="AE353" s="280"/>
      <c r="AF353" s="280"/>
      <c r="AG353" s="280"/>
      <c r="AH353" s="280"/>
      <c r="AI353" s="280"/>
      <c r="AJ353" s="280"/>
      <c r="AK353" s="280"/>
      <c r="AL353" s="280"/>
      <c r="AM353" s="280"/>
      <c r="AN353" s="280"/>
      <c r="AO353" s="280"/>
      <c r="AP353" s="280"/>
      <c r="AQ353" s="280"/>
      <c r="AR353" s="280"/>
      <c r="AS353" s="280"/>
      <c r="AT353" s="280"/>
      <c r="AU353" s="280"/>
      <c r="AV353" s="280"/>
      <c r="AW353" s="280"/>
      <c r="AX353" s="280"/>
      <c r="AY353" s="280"/>
      <c r="AZ353" s="280"/>
      <c r="BA353" s="280"/>
      <c r="BB353" s="280"/>
      <c r="BC353" s="280"/>
      <c r="BD353" s="280"/>
      <c r="BE353" s="280"/>
      <c r="BF353" s="280"/>
      <c r="BG353" s="280"/>
      <c r="BH353" s="280"/>
      <c r="BI353" s="280"/>
      <c r="BJ353" s="280"/>
      <c r="BK353" s="280"/>
      <c r="BL353" s="280"/>
      <c r="BM353" s="280"/>
      <c r="BN353" s="280"/>
      <c r="BO353" s="280"/>
      <c r="BP353" s="280"/>
      <c r="BQ353" s="280"/>
      <c r="BR353" s="280"/>
      <c r="BS353" s="280"/>
      <c r="BT353" s="280"/>
      <c r="BU353" s="280"/>
      <c r="BV353" s="280"/>
    </row>
    <row r="354" spans="2:74" x14ac:dyDescent="0.2">
      <c r="B354" s="280"/>
      <c r="D354" s="280"/>
      <c r="E354" s="280"/>
      <c r="F354" s="280"/>
      <c r="G354" s="280"/>
      <c r="H354" s="280"/>
      <c r="I354" s="280"/>
      <c r="J354" s="280"/>
      <c r="K354" s="280"/>
      <c r="L354" s="280"/>
      <c r="M354" s="280"/>
      <c r="N354" s="280"/>
      <c r="O354" s="280"/>
      <c r="P354" s="280"/>
      <c r="Q354" s="280"/>
      <c r="R354" s="280"/>
      <c r="S354" s="280"/>
      <c r="T354" s="280"/>
      <c r="U354" s="280"/>
      <c r="V354" s="280"/>
      <c r="W354" s="280"/>
      <c r="X354" s="280"/>
      <c r="Y354" s="280"/>
      <c r="Z354" s="280"/>
      <c r="AA354" s="280"/>
      <c r="AB354" s="280"/>
      <c r="AC354" s="280"/>
      <c r="AD354" s="280"/>
      <c r="AE354" s="280"/>
      <c r="AF354" s="280"/>
      <c r="AG354" s="280"/>
      <c r="AH354" s="280"/>
      <c r="AI354" s="280"/>
      <c r="AJ354" s="280"/>
      <c r="AK354" s="280"/>
      <c r="AL354" s="280"/>
      <c r="AM354" s="280"/>
      <c r="AN354" s="280"/>
      <c r="AO354" s="280"/>
      <c r="AP354" s="280"/>
      <c r="AQ354" s="280"/>
      <c r="AR354" s="280"/>
      <c r="AS354" s="280"/>
      <c r="AT354" s="280"/>
      <c r="AU354" s="280"/>
      <c r="AV354" s="280"/>
      <c r="AW354" s="280"/>
      <c r="AX354" s="280"/>
      <c r="AY354" s="280"/>
      <c r="AZ354" s="280"/>
      <c r="BA354" s="280"/>
      <c r="BB354" s="280"/>
      <c r="BC354" s="280"/>
      <c r="BD354" s="280"/>
      <c r="BE354" s="280"/>
      <c r="BF354" s="280"/>
      <c r="BG354" s="280"/>
      <c r="BH354" s="280"/>
      <c r="BI354" s="280"/>
      <c r="BJ354" s="280"/>
      <c r="BK354" s="280"/>
      <c r="BL354" s="280"/>
      <c r="BM354" s="280"/>
      <c r="BN354" s="280"/>
      <c r="BO354" s="280"/>
      <c r="BP354" s="280"/>
      <c r="BQ354" s="280"/>
      <c r="BR354" s="280"/>
      <c r="BS354" s="280"/>
      <c r="BT354" s="280"/>
      <c r="BU354" s="280"/>
      <c r="BV354" s="280"/>
    </row>
    <row r="355" spans="2:74" x14ac:dyDescent="0.2">
      <c r="B355" s="280"/>
      <c r="D355" s="280"/>
      <c r="E355" s="280"/>
      <c r="F355" s="280"/>
      <c r="G355" s="280"/>
      <c r="H355" s="280"/>
      <c r="I355" s="280"/>
      <c r="J355" s="280"/>
      <c r="K355" s="280"/>
      <c r="L355" s="280"/>
      <c r="M355" s="280"/>
      <c r="N355" s="280"/>
      <c r="O355" s="280"/>
      <c r="P355" s="280"/>
      <c r="Q355" s="280"/>
      <c r="R355" s="280"/>
      <c r="S355" s="280"/>
      <c r="T355" s="280"/>
      <c r="U355" s="280"/>
      <c r="V355" s="280"/>
      <c r="W355" s="280"/>
      <c r="X355" s="280"/>
      <c r="Y355" s="280"/>
      <c r="Z355" s="280"/>
      <c r="AA355" s="280"/>
      <c r="AB355" s="280"/>
      <c r="AC355" s="280"/>
      <c r="AD355" s="280"/>
      <c r="AE355" s="280"/>
      <c r="AF355" s="280"/>
      <c r="AG355" s="280"/>
      <c r="AH355" s="280"/>
      <c r="AI355" s="280"/>
      <c r="AJ355" s="280"/>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0"/>
      <c r="BI355" s="280"/>
      <c r="BJ355" s="280"/>
      <c r="BK355" s="280"/>
      <c r="BL355" s="280"/>
      <c r="BM355" s="280"/>
      <c r="BN355" s="280"/>
      <c r="BO355" s="280"/>
      <c r="BP355" s="280"/>
      <c r="BQ355" s="280"/>
      <c r="BR355" s="280"/>
      <c r="BS355" s="280"/>
      <c r="BT355" s="280"/>
      <c r="BU355" s="280"/>
      <c r="BV355" s="280"/>
    </row>
    <row r="356" spans="2:74" x14ac:dyDescent="0.2">
      <c r="B356" s="280"/>
      <c r="D356" s="280"/>
      <c r="E356" s="280"/>
      <c r="F356" s="280"/>
      <c r="G356" s="280"/>
      <c r="H356" s="280"/>
      <c r="I356" s="280"/>
      <c r="J356" s="280"/>
      <c r="K356" s="280"/>
      <c r="L356" s="280"/>
      <c r="M356" s="280"/>
      <c r="N356" s="280"/>
      <c r="O356" s="280"/>
      <c r="P356" s="280"/>
      <c r="Q356" s="280"/>
      <c r="R356" s="280"/>
      <c r="S356" s="280"/>
      <c r="T356" s="280"/>
      <c r="U356" s="280"/>
      <c r="V356" s="280"/>
      <c r="W356" s="280"/>
      <c r="X356" s="280"/>
      <c r="Y356" s="280"/>
      <c r="Z356" s="280"/>
      <c r="AA356" s="280"/>
      <c r="AB356" s="280"/>
      <c r="AC356" s="280"/>
      <c r="AD356" s="280"/>
      <c r="AE356" s="280"/>
      <c r="AF356" s="280"/>
      <c r="AG356" s="280"/>
      <c r="AH356" s="280"/>
      <c r="AI356" s="280"/>
      <c r="AJ356" s="280"/>
      <c r="AK356" s="280"/>
      <c r="AL356" s="280"/>
      <c r="AM356" s="280"/>
      <c r="AN356" s="280"/>
      <c r="AO356" s="280"/>
      <c r="AP356" s="280"/>
      <c r="AQ356" s="280"/>
      <c r="AR356" s="280"/>
      <c r="AS356" s="280"/>
      <c r="AT356" s="280"/>
      <c r="AU356" s="280"/>
      <c r="AV356" s="280"/>
      <c r="AW356" s="280"/>
      <c r="AX356" s="280"/>
      <c r="AY356" s="280"/>
      <c r="AZ356" s="280"/>
      <c r="BA356" s="280"/>
      <c r="BB356" s="280"/>
      <c r="BC356" s="280"/>
      <c r="BD356" s="280"/>
      <c r="BE356" s="280"/>
      <c r="BF356" s="280"/>
      <c r="BG356" s="280"/>
      <c r="BH356" s="280"/>
      <c r="BI356" s="280"/>
      <c r="BJ356" s="280"/>
      <c r="BK356" s="280"/>
      <c r="BL356" s="280"/>
      <c r="BM356" s="280"/>
      <c r="BN356" s="280"/>
      <c r="BO356" s="280"/>
      <c r="BP356" s="280"/>
      <c r="BQ356" s="280"/>
      <c r="BR356" s="280"/>
      <c r="BS356" s="280"/>
      <c r="BT356" s="280"/>
      <c r="BU356" s="280"/>
      <c r="BV356" s="280"/>
    </row>
    <row r="357" spans="2:74" x14ac:dyDescent="0.2">
      <c r="B357" s="280"/>
      <c r="D357" s="280"/>
      <c r="E357" s="280"/>
      <c r="F357" s="280"/>
      <c r="G357" s="280"/>
      <c r="H357" s="280"/>
      <c r="I357" s="280"/>
      <c r="J357" s="280"/>
      <c r="K357" s="280"/>
      <c r="L357" s="280"/>
      <c r="M357" s="280"/>
      <c r="N357" s="280"/>
      <c r="O357" s="280"/>
      <c r="P357" s="280"/>
      <c r="Q357" s="280"/>
      <c r="R357" s="280"/>
      <c r="S357" s="280"/>
      <c r="T357" s="280"/>
      <c r="U357" s="280"/>
      <c r="V357" s="280"/>
      <c r="W357" s="280"/>
      <c r="X357" s="280"/>
      <c r="Y357" s="280"/>
      <c r="Z357" s="280"/>
      <c r="AA357" s="280"/>
      <c r="AB357" s="280"/>
      <c r="AC357" s="280"/>
      <c r="AD357" s="280"/>
      <c r="AE357" s="280"/>
      <c r="AF357" s="280"/>
      <c r="AG357" s="280"/>
      <c r="AH357" s="280"/>
      <c r="AI357" s="280"/>
      <c r="AJ357" s="280"/>
      <c r="AK357" s="280"/>
      <c r="AL357" s="280"/>
      <c r="AM357" s="280"/>
      <c r="AN357" s="280"/>
      <c r="AO357" s="280"/>
      <c r="AP357" s="280"/>
      <c r="AQ357" s="280"/>
      <c r="AR357" s="280"/>
      <c r="AS357" s="280"/>
      <c r="AT357" s="280"/>
      <c r="AU357" s="280"/>
      <c r="AV357" s="280"/>
      <c r="AW357" s="280"/>
      <c r="AX357" s="280"/>
      <c r="AY357" s="280"/>
      <c r="AZ357" s="280"/>
      <c r="BA357" s="280"/>
      <c r="BB357" s="280"/>
      <c r="BC357" s="280"/>
      <c r="BD357" s="280"/>
      <c r="BE357" s="280"/>
      <c r="BF357" s="280"/>
      <c r="BG357" s="280"/>
      <c r="BH357" s="280"/>
      <c r="BI357" s="280"/>
      <c r="BJ357" s="280"/>
      <c r="BK357" s="280"/>
      <c r="BL357" s="280"/>
      <c r="BM357" s="280"/>
      <c r="BN357" s="280"/>
      <c r="BO357" s="280"/>
      <c r="BP357" s="280"/>
      <c r="BQ357" s="280"/>
      <c r="BR357" s="280"/>
      <c r="BS357" s="280"/>
      <c r="BT357" s="280"/>
      <c r="BU357" s="280"/>
      <c r="BV357" s="280"/>
    </row>
    <row r="358" spans="2:74" x14ac:dyDescent="0.2">
      <c r="B358" s="280"/>
      <c r="D358" s="280"/>
      <c r="E358" s="280"/>
      <c r="F358" s="280"/>
      <c r="G358" s="280"/>
      <c r="H358" s="280"/>
      <c r="I358" s="280"/>
      <c r="J358" s="280"/>
      <c r="K358" s="280"/>
      <c r="L358" s="280"/>
      <c r="M358" s="280"/>
      <c r="N358" s="280"/>
      <c r="O358" s="280"/>
      <c r="P358" s="280"/>
      <c r="Q358" s="280"/>
      <c r="R358" s="280"/>
      <c r="S358" s="280"/>
      <c r="T358" s="280"/>
      <c r="U358" s="280"/>
      <c r="V358" s="280"/>
      <c r="W358" s="280"/>
      <c r="X358" s="280"/>
      <c r="Y358" s="280"/>
      <c r="Z358" s="280"/>
      <c r="AA358" s="280"/>
      <c r="AB358" s="280"/>
      <c r="AC358" s="280"/>
      <c r="AD358" s="280"/>
      <c r="AE358" s="280"/>
      <c r="AF358" s="280"/>
      <c r="AG358" s="280"/>
      <c r="AH358" s="280"/>
      <c r="AI358" s="280"/>
      <c r="AJ358" s="280"/>
      <c r="AK358" s="280"/>
      <c r="AL358" s="280"/>
      <c r="AM358" s="280"/>
      <c r="AN358" s="280"/>
      <c r="AO358" s="280"/>
      <c r="AP358" s="280"/>
      <c r="AQ358" s="280"/>
      <c r="AR358" s="280"/>
      <c r="AS358" s="280"/>
      <c r="AT358" s="280"/>
      <c r="AU358" s="280"/>
      <c r="AV358" s="280"/>
      <c r="AW358" s="280"/>
      <c r="AX358" s="280"/>
      <c r="AY358" s="280"/>
      <c r="AZ358" s="280"/>
      <c r="BA358" s="280"/>
      <c r="BB358" s="280"/>
      <c r="BC358" s="280"/>
      <c r="BD358" s="280"/>
      <c r="BE358" s="280"/>
      <c r="BF358" s="280"/>
      <c r="BG358" s="280"/>
      <c r="BH358" s="280"/>
      <c r="BI358" s="280"/>
      <c r="BJ358" s="280"/>
      <c r="BK358" s="280"/>
      <c r="BL358" s="280"/>
      <c r="BM358" s="280"/>
      <c r="BN358" s="280"/>
      <c r="BO358" s="280"/>
      <c r="BP358" s="280"/>
      <c r="BQ358" s="280"/>
      <c r="BR358" s="280"/>
      <c r="BS358" s="280"/>
      <c r="BT358" s="280"/>
      <c r="BU358" s="280"/>
      <c r="BV358" s="280"/>
    </row>
    <row r="359" spans="2:74" x14ac:dyDescent="0.2">
      <c r="B359" s="280"/>
      <c r="D359" s="280"/>
      <c r="E359" s="280"/>
      <c r="F359" s="280"/>
      <c r="G359" s="280"/>
      <c r="H359" s="280"/>
      <c r="I359" s="280"/>
      <c r="J359" s="280"/>
      <c r="K359" s="280"/>
      <c r="L359" s="280"/>
      <c r="M359" s="280"/>
      <c r="N359" s="280"/>
      <c r="O359" s="280"/>
      <c r="P359" s="280"/>
      <c r="Q359" s="280"/>
      <c r="R359" s="280"/>
      <c r="S359" s="280"/>
      <c r="T359" s="280"/>
      <c r="U359" s="280"/>
      <c r="V359" s="280"/>
      <c r="W359" s="280"/>
      <c r="X359" s="280"/>
      <c r="Y359" s="280"/>
      <c r="Z359" s="280"/>
      <c r="AA359" s="280"/>
      <c r="AB359" s="280"/>
      <c r="AC359" s="280"/>
      <c r="AD359" s="280"/>
      <c r="AE359" s="280"/>
      <c r="AF359" s="280"/>
      <c r="AG359" s="280"/>
      <c r="AH359" s="280"/>
      <c r="AI359" s="280"/>
      <c r="AJ359" s="280"/>
      <c r="AK359" s="280"/>
      <c r="AL359" s="280"/>
      <c r="AM359" s="280"/>
      <c r="AN359" s="280"/>
      <c r="AO359" s="280"/>
      <c r="AP359" s="280"/>
      <c r="AQ359" s="280"/>
      <c r="AR359" s="280"/>
      <c r="AS359" s="280"/>
      <c r="AT359" s="280"/>
      <c r="AU359" s="280"/>
      <c r="AV359" s="280"/>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row>
    <row r="360" spans="2:74" x14ac:dyDescent="0.2">
      <c r="B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0"/>
      <c r="AL360" s="280"/>
      <c r="AM360" s="280"/>
      <c r="AN360" s="280"/>
      <c r="AO360" s="280"/>
      <c r="AP360" s="280"/>
      <c r="AQ360" s="280"/>
      <c r="AR360" s="280"/>
      <c r="AS360" s="280"/>
      <c r="AT360" s="280"/>
      <c r="AU360" s="280"/>
      <c r="AV360" s="280"/>
      <c r="AW360" s="280"/>
      <c r="AX360" s="280"/>
      <c r="AY360" s="280"/>
      <c r="AZ360" s="280"/>
      <c r="BA360" s="280"/>
      <c r="BB360" s="280"/>
      <c r="BC360" s="280"/>
      <c r="BD360" s="280"/>
      <c r="BE360" s="280"/>
      <c r="BF360" s="280"/>
      <c r="BG360" s="280"/>
      <c r="BH360" s="280"/>
      <c r="BI360" s="280"/>
      <c r="BJ360" s="280"/>
      <c r="BK360" s="280"/>
      <c r="BL360" s="280"/>
      <c r="BM360" s="280"/>
      <c r="BN360" s="280"/>
      <c r="BO360" s="280"/>
      <c r="BP360" s="280"/>
      <c r="BQ360" s="280"/>
      <c r="BR360" s="280"/>
      <c r="BS360" s="280"/>
      <c r="BT360" s="280"/>
      <c r="BU360" s="280"/>
      <c r="BV360" s="280"/>
    </row>
    <row r="361" spans="2:74" x14ac:dyDescent="0.2">
      <c r="B361" s="280"/>
      <c r="D361" s="280"/>
      <c r="E361" s="280"/>
      <c r="F361" s="280"/>
      <c r="G361" s="280"/>
      <c r="H361" s="280"/>
      <c r="I361" s="280"/>
      <c r="J361" s="280"/>
      <c r="K361" s="280"/>
      <c r="L361" s="280"/>
      <c r="M361" s="280"/>
      <c r="N361" s="280"/>
      <c r="O361" s="280"/>
      <c r="P361" s="280"/>
      <c r="Q361" s="280"/>
      <c r="R361" s="280"/>
      <c r="S361" s="280"/>
      <c r="T361" s="280"/>
      <c r="U361" s="280"/>
      <c r="V361" s="280"/>
      <c r="W361" s="280"/>
      <c r="X361" s="280"/>
      <c r="Y361" s="280"/>
      <c r="Z361" s="280"/>
      <c r="AA361" s="280"/>
      <c r="AB361" s="280"/>
      <c r="AC361" s="280"/>
      <c r="AD361" s="280"/>
      <c r="AE361" s="280"/>
      <c r="AF361" s="280"/>
      <c r="AG361" s="280"/>
      <c r="AH361" s="280"/>
      <c r="AI361" s="280"/>
      <c r="AJ361" s="280"/>
      <c r="AK361" s="280"/>
      <c r="AL361" s="280"/>
      <c r="AM361" s="280"/>
      <c r="AN361" s="280"/>
      <c r="AO361" s="280"/>
      <c r="AP361" s="280"/>
      <c r="AQ361" s="280"/>
      <c r="AR361" s="280"/>
      <c r="AS361" s="280"/>
      <c r="AT361" s="280"/>
      <c r="AU361" s="280"/>
      <c r="AV361" s="280"/>
      <c r="AW361" s="280"/>
      <c r="AX361" s="280"/>
      <c r="AY361" s="280"/>
      <c r="AZ361" s="280"/>
      <c r="BA361" s="280"/>
      <c r="BB361" s="280"/>
      <c r="BC361" s="280"/>
      <c r="BD361" s="280"/>
      <c r="BE361" s="280"/>
      <c r="BF361" s="280"/>
      <c r="BG361" s="280"/>
      <c r="BH361" s="280"/>
      <c r="BI361" s="280"/>
      <c r="BJ361" s="280"/>
      <c r="BK361" s="280"/>
      <c r="BL361" s="280"/>
      <c r="BM361" s="280"/>
      <c r="BN361" s="280"/>
      <c r="BO361" s="280"/>
      <c r="BP361" s="280"/>
      <c r="BQ361" s="280"/>
      <c r="BR361" s="280"/>
      <c r="BS361" s="280"/>
      <c r="BT361" s="280"/>
      <c r="BU361" s="280"/>
      <c r="BV361" s="280"/>
    </row>
    <row r="362" spans="2:74" x14ac:dyDescent="0.2">
      <c r="B362" s="280"/>
      <c r="D362" s="280"/>
      <c r="E362" s="280"/>
      <c r="F362" s="280"/>
      <c r="G362" s="280"/>
      <c r="H362" s="280"/>
      <c r="I362" s="280"/>
      <c r="J362" s="280"/>
      <c r="K362" s="280"/>
      <c r="L362" s="280"/>
      <c r="M362" s="280"/>
      <c r="N362" s="280"/>
      <c r="O362" s="280"/>
      <c r="P362" s="280"/>
      <c r="Q362" s="280"/>
      <c r="R362" s="280"/>
      <c r="S362" s="280"/>
      <c r="T362" s="280"/>
      <c r="U362" s="280"/>
      <c r="V362" s="280"/>
      <c r="W362" s="280"/>
      <c r="X362" s="280"/>
      <c r="Y362" s="280"/>
      <c r="Z362" s="280"/>
      <c r="AA362" s="280"/>
      <c r="AB362" s="280"/>
      <c r="AC362" s="280"/>
      <c r="AD362" s="280"/>
      <c r="AE362" s="280"/>
      <c r="AF362" s="280"/>
      <c r="AG362" s="280"/>
      <c r="AH362" s="280"/>
      <c r="AI362" s="280"/>
      <c r="AJ362" s="280"/>
      <c r="AK362" s="280"/>
      <c r="AL362" s="280"/>
      <c r="AM362" s="280"/>
      <c r="AN362" s="280"/>
      <c r="AO362" s="280"/>
      <c r="AP362" s="280"/>
      <c r="AQ362" s="280"/>
      <c r="AR362" s="280"/>
      <c r="AS362" s="280"/>
      <c r="AT362" s="280"/>
      <c r="AU362" s="280"/>
      <c r="AV362" s="280"/>
      <c r="AW362" s="280"/>
      <c r="AX362" s="280"/>
      <c r="AY362" s="280"/>
      <c r="AZ362" s="280"/>
      <c r="BA362" s="280"/>
      <c r="BB362" s="280"/>
      <c r="BC362" s="280"/>
      <c r="BD362" s="280"/>
      <c r="BE362" s="280"/>
      <c r="BF362" s="280"/>
      <c r="BG362" s="280"/>
      <c r="BH362" s="280"/>
      <c r="BI362" s="280"/>
      <c r="BJ362" s="280"/>
      <c r="BK362" s="280"/>
      <c r="BL362" s="280"/>
      <c r="BM362" s="280"/>
      <c r="BN362" s="280"/>
      <c r="BO362" s="280"/>
      <c r="BP362" s="280"/>
      <c r="BQ362" s="280"/>
      <c r="BR362" s="280"/>
      <c r="BS362" s="280"/>
      <c r="BT362" s="280"/>
      <c r="BU362" s="280"/>
      <c r="BV362" s="280"/>
    </row>
    <row r="363" spans="2:74" x14ac:dyDescent="0.2">
      <c r="B363" s="280"/>
      <c r="D363" s="280"/>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80"/>
      <c r="AJ363" s="280"/>
      <c r="AK363" s="280"/>
      <c r="AL363" s="280"/>
      <c r="AM363" s="280"/>
      <c r="AN363" s="280"/>
      <c r="AO363" s="280"/>
      <c r="AP363" s="280"/>
      <c r="AQ363" s="280"/>
      <c r="AR363" s="280"/>
      <c r="AS363" s="280"/>
      <c r="AT363" s="280"/>
      <c r="AU363" s="280"/>
      <c r="AV363" s="280"/>
      <c r="AW363" s="280"/>
      <c r="AX363" s="280"/>
      <c r="AY363" s="280"/>
      <c r="AZ363" s="280"/>
      <c r="BA363" s="280"/>
      <c r="BB363" s="280"/>
      <c r="BC363" s="280"/>
      <c r="BD363" s="280"/>
      <c r="BE363" s="280"/>
      <c r="BF363" s="280"/>
      <c r="BG363" s="280"/>
      <c r="BH363" s="280"/>
      <c r="BI363" s="280"/>
      <c r="BJ363" s="280"/>
      <c r="BK363" s="280"/>
      <c r="BL363" s="280"/>
      <c r="BM363" s="280"/>
      <c r="BN363" s="280"/>
      <c r="BO363" s="280"/>
      <c r="BP363" s="280"/>
      <c r="BQ363" s="280"/>
      <c r="BR363" s="280"/>
      <c r="BS363" s="280"/>
      <c r="BT363" s="280"/>
      <c r="BU363" s="280"/>
      <c r="BV363" s="280"/>
    </row>
    <row r="364" spans="2:74" x14ac:dyDescent="0.2">
      <c r="B364" s="280"/>
      <c r="D364" s="280"/>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c r="BT364" s="280"/>
      <c r="BU364" s="280"/>
      <c r="BV364" s="280"/>
    </row>
    <row r="365" spans="2:74" x14ac:dyDescent="0.2">
      <c r="B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c r="AH365" s="280"/>
      <c r="AI365" s="280"/>
      <c r="AJ365" s="280"/>
      <c r="AK365" s="280"/>
      <c r="AL365" s="280"/>
      <c r="AM365" s="280"/>
      <c r="AN365" s="280"/>
      <c r="AO365" s="280"/>
      <c r="AP365" s="280"/>
      <c r="AQ365" s="280"/>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c r="BT365" s="280"/>
      <c r="BU365" s="280"/>
      <c r="BV365" s="280"/>
    </row>
    <row r="366" spans="2:74" x14ac:dyDescent="0.2">
      <c r="B366" s="280"/>
      <c r="D366" s="280"/>
      <c r="E366" s="280"/>
      <c r="F366" s="280"/>
      <c r="G366" s="280"/>
      <c r="H366" s="280"/>
      <c r="I366" s="280"/>
      <c r="J366" s="280"/>
      <c r="K366" s="280"/>
      <c r="L366" s="280"/>
      <c r="M366" s="280"/>
      <c r="N366" s="280"/>
      <c r="O366" s="280"/>
      <c r="P366" s="280"/>
      <c r="Q366" s="280"/>
      <c r="R366" s="280"/>
      <c r="S366" s="280"/>
      <c r="T366" s="280"/>
      <c r="U366" s="280"/>
      <c r="V366" s="280"/>
      <c r="W366" s="280"/>
      <c r="X366" s="280"/>
      <c r="Y366" s="280"/>
      <c r="Z366" s="280"/>
      <c r="AA366" s="280"/>
      <c r="AB366" s="280"/>
      <c r="AC366" s="280"/>
      <c r="AD366" s="280"/>
      <c r="AE366" s="280"/>
      <c r="AF366" s="280"/>
      <c r="AG366" s="280"/>
      <c r="AH366" s="280"/>
      <c r="AI366" s="280"/>
      <c r="AJ366" s="280"/>
      <c r="AK366" s="280"/>
      <c r="AL366" s="280"/>
      <c r="AM366" s="280"/>
      <c r="AN366" s="280"/>
      <c r="AO366" s="280"/>
      <c r="AP366" s="280"/>
      <c r="AQ366" s="280"/>
      <c r="AR366" s="280"/>
      <c r="AS366" s="280"/>
      <c r="AT366" s="280"/>
      <c r="AU366" s="280"/>
      <c r="AV366" s="280"/>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row>
    <row r="367" spans="2:74" x14ac:dyDescent="0.2">
      <c r="B367" s="280"/>
      <c r="D367" s="280"/>
      <c r="E367" s="280"/>
      <c r="F367" s="280"/>
      <c r="G367" s="280"/>
      <c r="H367" s="280"/>
      <c r="I367" s="280"/>
      <c r="J367" s="280"/>
      <c r="K367" s="280"/>
      <c r="L367" s="280"/>
      <c r="M367" s="280"/>
      <c r="N367" s="280"/>
      <c r="O367" s="280"/>
      <c r="P367" s="280"/>
      <c r="Q367" s="280"/>
      <c r="R367" s="280"/>
      <c r="S367" s="280"/>
      <c r="T367" s="280"/>
      <c r="U367" s="280"/>
      <c r="V367" s="280"/>
      <c r="W367" s="280"/>
      <c r="X367" s="280"/>
      <c r="Y367" s="280"/>
      <c r="Z367" s="280"/>
      <c r="AA367" s="280"/>
      <c r="AB367" s="280"/>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c r="BT367" s="280"/>
      <c r="BU367" s="280"/>
      <c r="BV367" s="280"/>
    </row>
    <row r="368" spans="2:74" x14ac:dyDescent="0.2">
      <c r="B368" s="280"/>
      <c r="D368" s="280"/>
      <c r="E368" s="280"/>
      <c r="F368" s="280"/>
      <c r="G368" s="280"/>
      <c r="H368" s="280"/>
      <c r="I368" s="280"/>
      <c r="J368" s="280"/>
      <c r="K368" s="280"/>
      <c r="L368" s="280"/>
      <c r="M368" s="280"/>
      <c r="N368" s="280"/>
      <c r="O368" s="280"/>
      <c r="P368" s="280"/>
      <c r="Q368" s="280"/>
      <c r="R368" s="280"/>
      <c r="S368" s="280"/>
      <c r="T368" s="280"/>
      <c r="U368" s="280"/>
      <c r="V368" s="280"/>
      <c r="W368" s="280"/>
      <c r="X368" s="280"/>
      <c r="Y368" s="280"/>
      <c r="Z368" s="280"/>
      <c r="AA368" s="280"/>
      <c r="AB368" s="280"/>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c r="BT368" s="280"/>
      <c r="BU368" s="280"/>
      <c r="BV368" s="280"/>
    </row>
    <row r="369" spans="2:74" x14ac:dyDescent="0.2">
      <c r="B369" s="280"/>
      <c r="D369" s="280"/>
      <c r="E369" s="280"/>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280"/>
      <c r="AY369" s="280"/>
      <c r="AZ369" s="280"/>
      <c r="BA369" s="280"/>
      <c r="BB369" s="280"/>
      <c r="BC369" s="280"/>
      <c r="BD369" s="280"/>
      <c r="BE369" s="280"/>
      <c r="BF369" s="280"/>
      <c r="BG369" s="280"/>
      <c r="BH369" s="280"/>
      <c r="BI369" s="280"/>
      <c r="BJ369" s="280"/>
      <c r="BK369" s="280"/>
      <c r="BL369" s="280"/>
      <c r="BM369" s="280"/>
      <c r="BN369" s="280"/>
      <c r="BO369" s="280"/>
      <c r="BP369" s="280"/>
      <c r="BQ369" s="280"/>
      <c r="BR369" s="280"/>
      <c r="BS369" s="280"/>
      <c r="BT369" s="280"/>
      <c r="BU369" s="280"/>
      <c r="BV369" s="280"/>
    </row>
    <row r="370" spans="2:74" x14ac:dyDescent="0.2">
      <c r="B370" s="280"/>
      <c r="D370" s="280"/>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0"/>
      <c r="AY370" s="280"/>
      <c r="AZ370" s="280"/>
      <c r="BA370" s="280"/>
      <c r="BB370" s="280"/>
      <c r="BC370" s="280"/>
      <c r="BD370" s="280"/>
      <c r="BE370" s="280"/>
      <c r="BF370" s="280"/>
      <c r="BG370" s="280"/>
      <c r="BH370" s="280"/>
      <c r="BI370" s="280"/>
      <c r="BJ370" s="280"/>
      <c r="BK370" s="280"/>
      <c r="BL370" s="280"/>
      <c r="BM370" s="280"/>
      <c r="BN370" s="280"/>
      <c r="BO370" s="280"/>
      <c r="BP370" s="280"/>
      <c r="BQ370" s="280"/>
      <c r="BR370" s="280"/>
      <c r="BS370" s="280"/>
      <c r="BT370" s="280"/>
      <c r="BU370" s="280"/>
      <c r="BV370" s="280"/>
    </row>
    <row r="371" spans="2:74" x14ac:dyDescent="0.2">
      <c r="B371" s="280"/>
      <c r="D371" s="280"/>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280"/>
      <c r="BP371" s="280"/>
      <c r="BQ371" s="280"/>
      <c r="BR371" s="280"/>
      <c r="BS371" s="280"/>
      <c r="BT371" s="280"/>
      <c r="BU371" s="280"/>
      <c r="BV371" s="280"/>
    </row>
    <row r="372" spans="2:74" x14ac:dyDescent="0.2">
      <c r="B372" s="280"/>
      <c r="D372" s="280"/>
      <c r="E372" s="280"/>
      <c r="F372" s="280"/>
      <c r="G372" s="280"/>
      <c r="H372" s="280"/>
      <c r="I372" s="280"/>
      <c r="J372" s="280"/>
      <c r="K372" s="280"/>
      <c r="L372" s="280"/>
      <c r="M372" s="280"/>
      <c r="N372" s="280"/>
      <c r="O372" s="280"/>
      <c r="P372" s="280"/>
      <c r="Q372" s="280"/>
      <c r="R372" s="280"/>
      <c r="S372" s="280"/>
      <c r="T372" s="280"/>
      <c r="U372" s="280"/>
      <c r="V372" s="280"/>
      <c r="W372" s="280"/>
      <c r="X372" s="280"/>
      <c r="Y372" s="280"/>
      <c r="Z372" s="280"/>
      <c r="AA372" s="280"/>
      <c r="AB372" s="280"/>
      <c r="AC372" s="280"/>
      <c r="AD372" s="280"/>
      <c r="AE372" s="280"/>
      <c r="AF372" s="280"/>
      <c r="AG372" s="280"/>
      <c r="AH372" s="280"/>
      <c r="AI372" s="280"/>
      <c r="AJ372" s="280"/>
      <c r="AK372" s="280"/>
      <c r="AL372" s="280"/>
      <c r="AM372" s="280"/>
      <c r="AN372" s="280"/>
      <c r="AO372" s="280"/>
      <c r="AP372" s="280"/>
      <c r="AQ372" s="280"/>
      <c r="AR372" s="280"/>
      <c r="AS372" s="280"/>
      <c r="AT372" s="280"/>
      <c r="AU372" s="280"/>
      <c r="AV372" s="280"/>
      <c r="AW372" s="280"/>
      <c r="AX372" s="280"/>
      <c r="AY372" s="280"/>
      <c r="AZ372" s="280"/>
      <c r="BA372" s="280"/>
      <c r="BB372" s="280"/>
      <c r="BC372" s="280"/>
      <c r="BD372" s="280"/>
      <c r="BE372" s="280"/>
      <c r="BF372" s="280"/>
      <c r="BG372" s="280"/>
      <c r="BH372" s="280"/>
      <c r="BI372" s="280"/>
      <c r="BJ372" s="280"/>
      <c r="BK372" s="280"/>
      <c r="BL372" s="280"/>
      <c r="BM372" s="280"/>
      <c r="BN372" s="280"/>
      <c r="BO372" s="280"/>
      <c r="BP372" s="280"/>
      <c r="BQ372" s="280"/>
      <c r="BR372" s="280"/>
      <c r="BS372" s="280"/>
      <c r="BT372" s="280"/>
      <c r="BU372" s="280"/>
      <c r="BV372" s="280"/>
    </row>
    <row r="373" spans="2:74" x14ac:dyDescent="0.2">
      <c r="B373" s="280"/>
      <c r="D373" s="280"/>
      <c r="E373" s="280"/>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280"/>
      <c r="BP373" s="280"/>
      <c r="BQ373" s="280"/>
      <c r="BR373" s="280"/>
      <c r="BS373" s="280"/>
      <c r="BT373" s="280"/>
      <c r="BU373" s="280"/>
      <c r="BV373" s="280"/>
    </row>
    <row r="374" spans="2:74" x14ac:dyDescent="0.2">
      <c r="B374" s="280"/>
      <c r="D374" s="280"/>
      <c r="E374" s="280"/>
      <c r="F374" s="280"/>
      <c r="G374" s="280"/>
      <c r="H374" s="280"/>
      <c r="I374" s="280"/>
      <c r="J374" s="280"/>
      <c r="K374" s="280"/>
      <c r="L374" s="280"/>
      <c r="M374" s="280"/>
      <c r="N374" s="280"/>
      <c r="O374" s="280"/>
      <c r="P374" s="280"/>
      <c r="Q374" s="280"/>
      <c r="R374" s="280"/>
      <c r="S374" s="280"/>
      <c r="T374" s="280"/>
      <c r="U374" s="280"/>
      <c r="V374" s="280"/>
      <c r="W374" s="280"/>
      <c r="X374" s="280"/>
      <c r="Y374" s="280"/>
      <c r="Z374" s="280"/>
      <c r="AA374" s="280"/>
      <c r="AB374" s="280"/>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row>
    <row r="375" spans="2:74" x14ac:dyDescent="0.2">
      <c r="B375" s="280"/>
      <c r="D375" s="280"/>
      <c r="E375" s="280"/>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row>
    <row r="376" spans="2:74" x14ac:dyDescent="0.2">
      <c r="B376" s="280"/>
      <c r="D376" s="280"/>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row>
    <row r="377" spans="2:74" x14ac:dyDescent="0.2">
      <c r="B377" s="280"/>
      <c r="D377" s="280"/>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c r="AH377" s="280"/>
      <c r="AI377" s="280"/>
      <c r="AJ377" s="280"/>
      <c r="AK377" s="280"/>
      <c r="AL377" s="280"/>
      <c r="AM377" s="280"/>
      <c r="AN377" s="280"/>
      <c r="AO377" s="280"/>
      <c r="AP377" s="280"/>
      <c r="AQ377" s="280"/>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row>
    <row r="378" spans="2:74" x14ac:dyDescent="0.2">
      <c r="B378" s="280"/>
      <c r="D378" s="280"/>
      <c r="E378" s="280"/>
      <c r="F378" s="280"/>
      <c r="G378" s="280"/>
      <c r="H378" s="280"/>
      <c r="I378" s="280"/>
      <c r="J378" s="280"/>
      <c r="K378" s="280"/>
      <c r="L378" s="280"/>
      <c r="M378" s="280"/>
      <c r="N378" s="280"/>
      <c r="O378" s="280"/>
      <c r="P378" s="280"/>
      <c r="Q378" s="280"/>
      <c r="R378" s="280"/>
      <c r="S378" s="280"/>
      <c r="T378" s="280"/>
      <c r="U378" s="280"/>
      <c r="V378" s="280"/>
      <c r="W378" s="280"/>
      <c r="X378" s="280"/>
      <c r="Y378" s="280"/>
      <c r="Z378" s="280"/>
      <c r="AA378" s="280"/>
      <c r="AB378" s="280"/>
      <c r="AC378" s="280"/>
      <c r="AD378" s="280"/>
      <c r="AE378" s="280"/>
      <c r="AF378" s="280"/>
      <c r="AG378" s="280"/>
      <c r="AH378" s="280"/>
      <c r="AI378" s="280"/>
      <c r="AJ378" s="280"/>
      <c r="AK378" s="280"/>
      <c r="AL378" s="280"/>
      <c r="AM378" s="280"/>
      <c r="AN378" s="280"/>
      <c r="AO378" s="280"/>
      <c r="AP378" s="280"/>
      <c r="AQ378" s="280"/>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row>
    <row r="379" spans="2:74" x14ac:dyDescent="0.2">
      <c r="B379" s="280"/>
      <c r="D379" s="280"/>
      <c r="E379" s="280"/>
      <c r="F379" s="280"/>
      <c r="G379" s="280"/>
      <c r="H379" s="280"/>
      <c r="I379" s="280"/>
      <c r="J379" s="280"/>
      <c r="K379" s="280"/>
      <c r="L379" s="280"/>
      <c r="M379" s="280"/>
      <c r="N379" s="280"/>
      <c r="O379" s="280"/>
      <c r="P379" s="280"/>
      <c r="Q379" s="280"/>
      <c r="R379" s="280"/>
      <c r="S379" s="280"/>
      <c r="T379" s="280"/>
      <c r="U379" s="280"/>
      <c r="V379" s="280"/>
      <c r="W379" s="280"/>
      <c r="X379" s="280"/>
      <c r="Y379" s="280"/>
      <c r="Z379" s="280"/>
      <c r="AA379" s="280"/>
      <c r="AB379" s="280"/>
      <c r="AC379" s="280"/>
      <c r="AD379" s="280"/>
      <c r="AE379" s="280"/>
      <c r="AF379" s="280"/>
      <c r="AG379" s="280"/>
      <c r="AH379" s="28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row>
    <row r="380" spans="2:74" x14ac:dyDescent="0.2">
      <c r="B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c r="AH380" s="28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row>
    <row r="381" spans="2:74" x14ac:dyDescent="0.2">
      <c r="B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280"/>
      <c r="AK381" s="280"/>
      <c r="AL381" s="280"/>
      <c r="AM381" s="280"/>
      <c r="AN381" s="280"/>
      <c r="AO381" s="280"/>
      <c r="AP381" s="280"/>
      <c r="AQ381" s="280"/>
      <c r="AR381" s="280"/>
      <c r="AS381" s="280"/>
      <c r="AT381" s="280"/>
      <c r="AU381" s="280"/>
      <c r="AV381" s="280"/>
      <c r="AW381" s="280"/>
      <c r="AX381" s="280"/>
      <c r="AY381" s="280"/>
      <c r="AZ381" s="280"/>
      <c r="BA381" s="280"/>
      <c r="BB381" s="280"/>
      <c r="BC381" s="280"/>
      <c r="BD381" s="280"/>
      <c r="BE381" s="280"/>
      <c r="BF381" s="280"/>
      <c r="BG381" s="280"/>
      <c r="BH381" s="280"/>
      <c r="BI381" s="280"/>
      <c r="BJ381" s="280"/>
      <c r="BK381" s="280"/>
      <c r="BL381" s="280"/>
      <c r="BM381" s="280"/>
      <c r="BN381" s="280"/>
      <c r="BO381" s="280"/>
      <c r="BP381" s="280"/>
      <c r="BQ381" s="280"/>
      <c r="BR381" s="280"/>
      <c r="BS381" s="280"/>
      <c r="BT381" s="280"/>
      <c r="BU381" s="280"/>
      <c r="BV381" s="280"/>
    </row>
    <row r="382" spans="2:74" x14ac:dyDescent="0.2">
      <c r="B382" s="280"/>
      <c r="D382" s="280"/>
      <c r="E382" s="280"/>
      <c r="F382" s="280"/>
      <c r="G382" s="280"/>
      <c r="H382" s="280"/>
      <c r="I382" s="280"/>
      <c r="J382" s="280"/>
      <c r="K382" s="280"/>
      <c r="L382" s="280"/>
      <c r="M382" s="280"/>
      <c r="N382" s="280"/>
      <c r="O382" s="280"/>
      <c r="P382" s="280"/>
      <c r="Q382" s="280"/>
      <c r="R382" s="280"/>
      <c r="S382" s="280"/>
      <c r="T382" s="280"/>
      <c r="U382" s="280"/>
      <c r="V382" s="280"/>
      <c r="W382" s="280"/>
      <c r="X382" s="280"/>
      <c r="Y382" s="280"/>
      <c r="Z382" s="280"/>
      <c r="AA382" s="280"/>
      <c r="AB382" s="280"/>
      <c r="AC382" s="280"/>
      <c r="AD382" s="280"/>
      <c r="AE382" s="280"/>
      <c r="AF382" s="280"/>
      <c r="AG382" s="280"/>
      <c r="AH382" s="280"/>
      <c r="AI382" s="280"/>
      <c r="AJ382" s="280"/>
      <c r="AK382" s="280"/>
      <c r="AL382" s="280"/>
      <c r="AM382" s="280"/>
      <c r="AN382" s="280"/>
      <c r="AO382" s="280"/>
      <c r="AP382" s="280"/>
      <c r="AQ382" s="280"/>
      <c r="AR382" s="280"/>
      <c r="AS382" s="280"/>
      <c r="AT382" s="280"/>
      <c r="AU382" s="280"/>
      <c r="AV382" s="280"/>
      <c r="AW382" s="280"/>
      <c r="AX382" s="280"/>
      <c r="AY382" s="280"/>
      <c r="AZ382" s="280"/>
      <c r="BA382" s="280"/>
      <c r="BB382" s="280"/>
      <c r="BC382" s="280"/>
      <c r="BD382" s="280"/>
      <c r="BE382" s="280"/>
      <c r="BF382" s="280"/>
      <c r="BG382" s="280"/>
      <c r="BH382" s="280"/>
      <c r="BI382" s="280"/>
      <c r="BJ382" s="280"/>
      <c r="BK382" s="280"/>
      <c r="BL382" s="280"/>
      <c r="BM382" s="280"/>
      <c r="BN382" s="280"/>
      <c r="BO382" s="280"/>
      <c r="BP382" s="280"/>
      <c r="BQ382" s="280"/>
      <c r="BR382" s="280"/>
      <c r="BS382" s="280"/>
      <c r="BT382" s="280"/>
      <c r="BU382" s="280"/>
      <c r="BV382" s="280"/>
    </row>
    <row r="383" spans="2:74" x14ac:dyDescent="0.2">
      <c r="B383" s="280"/>
      <c r="D383" s="280"/>
      <c r="E383" s="280"/>
      <c r="F383" s="280"/>
      <c r="G383" s="280"/>
      <c r="H383" s="280"/>
      <c r="I383" s="280"/>
      <c r="J383" s="280"/>
      <c r="K383" s="280"/>
      <c r="L383" s="280"/>
      <c r="M383" s="280"/>
      <c r="N383" s="280"/>
      <c r="O383" s="280"/>
      <c r="P383" s="280"/>
      <c r="Q383" s="280"/>
      <c r="R383" s="280"/>
      <c r="S383" s="280"/>
      <c r="T383" s="280"/>
      <c r="U383" s="280"/>
      <c r="V383" s="280"/>
      <c r="W383" s="280"/>
      <c r="X383" s="280"/>
      <c r="Y383" s="280"/>
      <c r="Z383" s="280"/>
      <c r="AA383" s="280"/>
      <c r="AB383" s="280"/>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0"/>
      <c r="BR383" s="280"/>
      <c r="BS383" s="280"/>
      <c r="BT383" s="280"/>
      <c r="BU383" s="280"/>
      <c r="BV383" s="280"/>
    </row>
    <row r="384" spans="2:74" x14ac:dyDescent="0.2">
      <c r="B384" s="280"/>
      <c r="D384" s="280"/>
      <c r="E384" s="280"/>
      <c r="F384" s="280"/>
      <c r="G384" s="280"/>
      <c r="H384" s="280"/>
      <c r="I384" s="280"/>
      <c r="J384" s="280"/>
      <c r="K384" s="280"/>
      <c r="L384" s="280"/>
      <c r="M384" s="280"/>
      <c r="N384" s="280"/>
      <c r="O384" s="280"/>
      <c r="P384" s="280"/>
      <c r="Q384" s="280"/>
      <c r="R384" s="280"/>
      <c r="S384" s="280"/>
      <c r="T384" s="280"/>
      <c r="U384" s="280"/>
      <c r="V384" s="280"/>
      <c r="W384" s="280"/>
      <c r="X384" s="280"/>
      <c r="Y384" s="280"/>
      <c r="Z384" s="280"/>
      <c r="AA384" s="280"/>
      <c r="AB384" s="280"/>
      <c r="AC384" s="280"/>
      <c r="AD384" s="280"/>
      <c r="AE384" s="280"/>
      <c r="AF384" s="280"/>
      <c r="AG384" s="280"/>
      <c r="AH384" s="280"/>
      <c r="AI384" s="280"/>
      <c r="AJ384" s="280"/>
      <c r="AK384" s="280"/>
      <c r="AL384" s="280"/>
      <c r="AM384" s="280"/>
      <c r="AN384" s="280"/>
      <c r="AO384" s="280"/>
      <c r="AP384" s="280"/>
      <c r="AQ384" s="280"/>
      <c r="AR384" s="280"/>
      <c r="AS384" s="280"/>
      <c r="AT384" s="280"/>
      <c r="AU384" s="280"/>
      <c r="AV384" s="280"/>
      <c r="AW384" s="280"/>
      <c r="AX384" s="280"/>
      <c r="AY384" s="280"/>
      <c r="AZ384" s="280"/>
      <c r="BA384" s="280"/>
      <c r="BB384" s="280"/>
      <c r="BC384" s="280"/>
      <c r="BD384" s="280"/>
      <c r="BE384" s="280"/>
      <c r="BF384" s="280"/>
      <c r="BG384" s="280"/>
      <c r="BH384" s="280"/>
      <c r="BI384" s="280"/>
      <c r="BJ384" s="280"/>
      <c r="BK384" s="280"/>
      <c r="BL384" s="280"/>
      <c r="BM384" s="280"/>
      <c r="BN384" s="280"/>
      <c r="BO384" s="280"/>
      <c r="BP384" s="280"/>
      <c r="BQ384" s="280"/>
      <c r="BR384" s="280"/>
      <c r="BS384" s="280"/>
      <c r="BT384" s="280"/>
      <c r="BU384" s="280"/>
      <c r="BV384" s="280"/>
    </row>
    <row r="385" spans="2:74" x14ac:dyDescent="0.2">
      <c r="B385" s="280"/>
      <c r="D385" s="280"/>
      <c r="E385" s="280"/>
      <c r="F385" s="280"/>
      <c r="G385" s="280"/>
      <c r="H385" s="280"/>
      <c r="I385" s="280"/>
      <c r="J385" s="280"/>
      <c r="K385" s="280"/>
      <c r="L385" s="280"/>
      <c r="M385" s="280"/>
      <c r="N385" s="280"/>
      <c r="O385" s="280"/>
      <c r="P385" s="280"/>
      <c r="Q385" s="280"/>
      <c r="R385" s="280"/>
      <c r="S385" s="280"/>
      <c r="T385" s="280"/>
      <c r="U385" s="280"/>
      <c r="V385" s="280"/>
      <c r="W385" s="280"/>
      <c r="X385" s="280"/>
      <c r="Y385" s="280"/>
      <c r="Z385" s="280"/>
      <c r="AA385" s="280"/>
      <c r="AB385" s="280"/>
      <c r="AC385" s="280"/>
      <c r="AD385" s="280"/>
      <c r="AE385" s="280"/>
      <c r="AF385" s="280"/>
      <c r="AG385" s="280"/>
      <c r="AH385" s="280"/>
      <c r="AI385" s="280"/>
      <c r="AJ385" s="280"/>
      <c r="AK385" s="280"/>
      <c r="AL385" s="280"/>
      <c r="AM385" s="280"/>
      <c r="AN385" s="280"/>
      <c r="AO385" s="280"/>
      <c r="AP385" s="280"/>
      <c r="AQ385" s="280"/>
      <c r="AR385" s="280"/>
      <c r="AS385" s="280"/>
      <c r="AT385" s="280"/>
      <c r="AU385" s="280"/>
      <c r="AV385" s="280"/>
      <c r="AW385" s="280"/>
      <c r="AX385" s="280"/>
      <c r="AY385" s="280"/>
      <c r="AZ385" s="280"/>
      <c r="BA385" s="280"/>
      <c r="BB385" s="280"/>
      <c r="BC385" s="280"/>
      <c r="BD385" s="280"/>
      <c r="BE385" s="280"/>
      <c r="BF385" s="280"/>
      <c r="BG385" s="280"/>
      <c r="BH385" s="280"/>
      <c r="BI385" s="280"/>
      <c r="BJ385" s="280"/>
      <c r="BK385" s="280"/>
      <c r="BL385" s="280"/>
      <c r="BM385" s="280"/>
      <c r="BN385" s="280"/>
      <c r="BO385" s="280"/>
      <c r="BP385" s="280"/>
      <c r="BQ385" s="280"/>
      <c r="BR385" s="280"/>
      <c r="BS385" s="280"/>
      <c r="BT385" s="280"/>
      <c r="BU385" s="280"/>
      <c r="BV385" s="280"/>
    </row>
    <row r="386" spans="2:74" x14ac:dyDescent="0.2">
      <c r="B386" s="280"/>
      <c r="D386" s="280"/>
      <c r="E386" s="280"/>
      <c r="F386" s="280"/>
      <c r="G386" s="280"/>
      <c r="H386" s="280"/>
      <c r="I386" s="280"/>
      <c r="J386" s="280"/>
      <c r="K386" s="280"/>
      <c r="L386" s="280"/>
      <c r="M386" s="280"/>
      <c r="N386" s="280"/>
      <c r="O386" s="280"/>
      <c r="P386" s="280"/>
      <c r="Q386" s="280"/>
      <c r="R386" s="280"/>
      <c r="S386" s="280"/>
      <c r="T386" s="280"/>
      <c r="U386" s="280"/>
      <c r="V386" s="280"/>
      <c r="W386" s="280"/>
      <c r="X386" s="280"/>
      <c r="Y386" s="280"/>
      <c r="Z386" s="280"/>
      <c r="AA386" s="280"/>
      <c r="AB386" s="280"/>
      <c r="AC386" s="280"/>
      <c r="AD386" s="280"/>
      <c r="AE386" s="280"/>
      <c r="AF386" s="280"/>
      <c r="AG386" s="280"/>
      <c r="AH386" s="280"/>
      <c r="AI386" s="280"/>
      <c r="AJ386" s="280"/>
      <c r="AK386" s="280"/>
      <c r="AL386" s="280"/>
      <c r="AM386" s="280"/>
      <c r="AN386" s="280"/>
      <c r="AO386" s="280"/>
      <c r="AP386" s="280"/>
      <c r="AQ386" s="280"/>
      <c r="AR386" s="280"/>
      <c r="AS386" s="280"/>
      <c r="AT386" s="280"/>
      <c r="AU386" s="280"/>
      <c r="AV386" s="280"/>
      <c r="AW386" s="280"/>
      <c r="AX386" s="280"/>
      <c r="AY386" s="280"/>
      <c r="AZ386" s="280"/>
      <c r="BA386" s="280"/>
      <c r="BB386" s="280"/>
      <c r="BC386" s="280"/>
      <c r="BD386" s="280"/>
      <c r="BE386" s="280"/>
      <c r="BF386" s="280"/>
      <c r="BG386" s="280"/>
      <c r="BH386" s="280"/>
      <c r="BI386" s="280"/>
      <c r="BJ386" s="280"/>
      <c r="BK386" s="280"/>
      <c r="BL386" s="280"/>
      <c r="BM386" s="280"/>
      <c r="BN386" s="280"/>
      <c r="BO386" s="280"/>
      <c r="BP386" s="280"/>
      <c r="BQ386" s="280"/>
      <c r="BR386" s="280"/>
      <c r="BS386" s="280"/>
      <c r="BT386" s="280"/>
      <c r="BU386" s="280"/>
      <c r="BV386" s="280"/>
    </row>
    <row r="387" spans="2:74" x14ac:dyDescent="0.2">
      <c r="B387" s="280"/>
      <c r="D387" s="280"/>
      <c r="E387" s="280"/>
      <c r="F387" s="280"/>
      <c r="G387" s="280"/>
      <c r="H387" s="280"/>
      <c r="I387" s="280"/>
      <c r="J387" s="280"/>
      <c r="K387" s="280"/>
      <c r="L387" s="280"/>
      <c r="M387" s="280"/>
      <c r="N387" s="280"/>
      <c r="O387" s="280"/>
      <c r="P387" s="280"/>
      <c r="Q387" s="280"/>
      <c r="R387" s="280"/>
      <c r="S387" s="280"/>
      <c r="T387" s="280"/>
      <c r="U387" s="280"/>
      <c r="V387" s="280"/>
      <c r="W387" s="280"/>
      <c r="X387" s="280"/>
      <c r="Y387" s="280"/>
      <c r="Z387" s="280"/>
      <c r="AA387" s="280"/>
      <c r="AB387" s="280"/>
      <c r="AC387" s="280"/>
      <c r="AD387" s="280"/>
      <c r="AE387" s="280"/>
      <c r="AF387" s="280"/>
      <c r="AG387" s="280"/>
      <c r="AH387" s="280"/>
      <c r="AI387" s="280"/>
      <c r="AJ387" s="280"/>
      <c r="AK387" s="280"/>
      <c r="AL387" s="280"/>
      <c r="AM387" s="280"/>
      <c r="AN387" s="280"/>
      <c r="AO387" s="280"/>
      <c r="AP387" s="280"/>
      <c r="AQ387" s="280"/>
      <c r="AR387" s="280"/>
      <c r="AS387" s="280"/>
      <c r="AT387" s="280"/>
      <c r="AU387" s="280"/>
      <c r="AV387" s="280"/>
      <c r="AW387" s="280"/>
      <c r="AX387" s="280"/>
      <c r="AY387" s="280"/>
      <c r="AZ387" s="280"/>
      <c r="BA387" s="280"/>
      <c r="BB387" s="280"/>
      <c r="BC387" s="280"/>
      <c r="BD387" s="280"/>
      <c r="BE387" s="280"/>
      <c r="BF387" s="280"/>
      <c r="BG387" s="280"/>
      <c r="BH387" s="280"/>
      <c r="BI387" s="280"/>
      <c r="BJ387" s="280"/>
      <c r="BK387" s="280"/>
      <c r="BL387" s="280"/>
      <c r="BM387" s="280"/>
      <c r="BN387" s="280"/>
      <c r="BO387" s="280"/>
      <c r="BP387" s="280"/>
      <c r="BQ387" s="280"/>
      <c r="BR387" s="280"/>
      <c r="BS387" s="280"/>
      <c r="BT387" s="280"/>
      <c r="BU387" s="280"/>
      <c r="BV387" s="280"/>
    </row>
    <row r="388" spans="2:74" x14ac:dyDescent="0.2">
      <c r="B388" s="280"/>
      <c r="D388" s="280"/>
      <c r="E388" s="280"/>
      <c r="F388" s="280"/>
      <c r="G388" s="280"/>
      <c r="H388" s="280"/>
      <c r="I388" s="280"/>
      <c r="J388" s="280"/>
      <c r="K388" s="280"/>
      <c r="L388" s="280"/>
      <c r="M388" s="280"/>
      <c r="N388" s="280"/>
      <c r="O388" s="280"/>
      <c r="P388" s="280"/>
      <c r="Q388" s="280"/>
      <c r="R388" s="280"/>
      <c r="S388" s="280"/>
      <c r="T388" s="280"/>
      <c r="U388" s="280"/>
      <c r="V388" s="280"/>
      <c r="W388" s="280"/>
      <c r="X388" s="280"/>
      <c r="Y388" s="280"/>
      <c r="Z388" s="280"/>
      <c r="AA388" s="280"/>
      <c r="AB388" s="280"/>
      <c r="AC388" s="280"/>
      <c r="AD388" s="280"/>
      <c r="AE388" s="280"/>
      <c r="AF388" s="280"/>
      <c r="AG388" s="280"/>
      <c r="AH388" s="280"/>
      <c r="AI388" s="280"/>
      <c r="AJ388" s="280"/>
      <c r="AK388" s="280"/>
      <c r="AL388" s="280"/>
      <c r="AM388" s="280"/>
      <c r="AN388" s="280"/>
      <c r="AO388" s="280"/>
      <c r="AP388" s="280"/>
      <c r="AQ388" s="280"/>
      <c r="AR388" s="280"/>
      <c r="AS388" s="280"/>
      <c r="AT388" s="280"/>
      <c r="AU388" s="280"/>
      <c r="AV388" s="280"/>
      <c r="AW388" s="280"/>
      <c r="AX388" s="280"/>
      <c r="AY388" s="280"/>
      <c r="AZ388" s="280"/>
      <c r="BA388" s="280"/>
      <c r="BB388" s="280"/>
      <c r="BC388" s="280"/>
      <c r="BD388" s="280"/>
      <c r="BE388" s="280"/>
      <c r="BF388" s="280"/>
      <c r="BG388" s="280"/>
      <c r="BH388" s="280"/>
      <c r="BI388" s="280"/>
      <c r="BJ388" s="280"/>
      <c r="BK388" s="280"/>
      <c r="BL388" s="280"/>
      <c r="BM388" s="280"/>
      <c r="BN388" s="280"/>
      <c r="BO388" s="280"/>
      <c r="BP388" s="280"/>
      <c r="BQ388" s="280"/>
      <c r="BR388" s="280"/>
      <c r="BS388" s="280"/>
      <c r="BT388" s="280"/>
      <c r="BU388" s="280"/>
      <c r="BV388" s="280"/>
    </row>
    <row r="389" spans="2:74" x14ac:dyDescent="0.2">
      <c r="B389" s="280"/>
      <c r="D389" s="280"/>
      <c r="E389" s="280"/>
      <c r="F389" s="280"/>
      <c r="G389" s="280"/>
      <c r="H389" s="280"/>
      <c r="I389" s="280"/>
      <c r="J389" s="280"/>
      <c r="K389" s="280"/>
      <c r="L389" s="280"/>
      <c r="M389" s="280"/>
      <c r="N389" s="280"/>
      <c r="O389" s="280"/>
      <c r="P389" s="280"/>
      <c r="Q389" s="280"/>
      <c r="R389" s="280"/>
      <c r="S389" s="280"/>
      <c r="T389" s="280"/>
      <c r="U389" s="280"/>
      <c r="V389" s="280"/>
      <c r="W389" s="280"/>
      <c r="X389" s="280"/>
      <c r="Y389" s="280"/>
      <c r="Z389" s="280"/>
      <c r="AA389" s="280"/>
      <c r="AB389" s="280"/>
      <c r="AC389" s="280"/>
      <c r="AD389" s="280"/>
      <c r="AE389" s="280"/>
      <c r="AF389" s="280"/>
      <c r="AG389" s="280"/>
      <c r="AH389" s="280"/>
      <c r="AI389" s="280"/>
      <c r="AJ389" s="280"/>
      <c r="AK389" s="280"/>
      <c r="AL389" s="280"/>
      <c r="AM389" s="280"/>
      <c r="AN389" s="280"/>
      <c r="AO389" s="280"/>
      <c r="AP389" s="280"/>
      <c r="AQ389" s="280"/>
      <c r="AR389" s="280"/>
      <c r="AS389" s="280"/>
      <c r="AT389" s="280"/>
      <c r="AU389" s="280"/>
      <c r="AV389" s="280"/>
      <c r="AW389" s="280"/>
      <c r="AX389" s="280"/>
      <c r="AY389" s="280"/>
      <c r="AZ389" s="280"/>
      <c r="BA389" s="280"/>
      <c r="BB389" s="280"/>
      <c r="BC389" s="280"/>
      <c r="BD389" s="280"/>
      <c r="BE389" s="280"/>
      <c r="BF389" s="280"/>
      <c r="BG389" s="280"/>
      <c r="BH389" s="280"/>
      <c r="BI389" s="280"/>
      <c r="BJ389" s="280"/>
      <c r="BK389" s="280"/>
      <c r="BL389" s="280"/>
      <c r="BM389" s="280"/>
      <c r="BN389" s="280"/>
      <c r="BO389" s="280"/>
      <c r="BP389" s="280"/>
      <c r="BQ389" s="280"/>
      <c r="BR389" s="280"/>
      <c r="BS389" s="280"/>
      <c r="BT389" s="280"/>
      <c r="BU389" s="280"/>
      <c r="BV389" s="280"/>
    </row>
    <row r="390" spans="2:74" x14ac:dyDescent="0.2">
      <c r="B390" s="280"/>
      <c r="D390" s="280"/>
      <c r="E390" s="280"/>
      <c r="F390" s="280"/>
      <c r="G390" s="280"/>
      <c r="H390" s="280"/>
      <c r="I390" s="280"/>
      <c r="J390" s="280"/>
      <c r="K390" s="280"/>
      <c r="L390" s="280"/>
      <c r="M390" s="280"/>
      <c r="N390" s="280"/>
      <c r="O390" s="280"/>
      <c r="P390" s="280"/>
      <c r="Q390" s="280"/>
      <c r="R390" s="280"/>
      <c r="S390" s="280"/>
      <c r="T390" s="280"/>
      <c r="U390" s="280"/>
      <c r="V390" s="280"/>
      <c r="W390" s="280"/>
      <c r="X390" s="280"/>
      <c r="Y390" s="280"/>
      <c r="Z390" s="280"/>
      <c r="AA390" s="280"/>
      <c r="AB390" s="280"/>
      <c r="AC390" s="280"/>
      <c r="AD390" s="280"/>
      <c r="AE390" s="280"/>
      <c r="AF390" s="280"/>
      <c r="AG390" s="280"/>
      <c r="AH390" s="280"/>
      <c r="AI390" s="280"/>
      <c r="AJ390" s="280"/>
      <c r="AK390" s="280"/>
      <c r="AL390" s="280"/>
      <c r="AM390" s="280"/>
      <c r="AN390" s="280"/>
      <c r="AO390" s="280"/>
      <c r="AP390" s="280"/>
      <c r="AQ390" s="280"/>
      <c r="AR390" s="280"/>
      <c r="AS390" s="280"/>
      <c r="AT390" s="280"/>
      <c r="AU390" s="280"/>
      <c r="AV390" s="280"/>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row>
    <row r="391" spans="2:74" x14ac:dyDescent="0.2">
      <c r="B391" s="280"/>
      <c r="D391" s="280"/>
      <c r="E391" s="280"/>
      <c r="F391" s="280"/>
      <c r="G391" s="280"/>
      <c r="H391" s="280"/>
      <c r="I391" s="280"/>
      <c r="J391" s="280"/>
      <c r="K391" s="280"/>
      <c r="L391" s="280"/>
      <c r="M391" s="280"/>
      <c r="N391" s="280"/>
      <c r="O391" s="280"/>
      <c r="P391" s="280"/>
      <c r="Q391" s="280"/>
      <c r="R391" s="280"/>
      <c r="S391" s="280"/>
      <c r="T391" s="280"/>
      <c r="U391" s="280"/>
      <c r="V391" s="280"/>
      <c r="W391" s="280"/>
      <c r="X391" s="280"/>
      <c r="Y391" s="280"/>
      <c r="Z391" s="280"/>
      <c r="AA391" s="280"/>
      <c r="AB391" s="280"/>
      <c r="AC391" s="280"/>
      <c r="AD391" s="280"/>
      <c r="AE391" s="280"/>
      <c r="AF391" s="280"/>
      <c r="AG391" s="280"/>
      <c r="AH391" s="280"/>
      <c r="AI391" s="280"/>
      <c r="AJ391" s="280"/>
      <c r="AK391" s="280"/>
      <c r="AL391" s="280"/>
      <c r="AM391" s="280"/>
      <c r="AN391" s="280"/>
      <c r="AO391" s="280"/>
      <c r="AP391" s="280"/>
      <c r="AQ391" s="280"/>
      <c r="AR391" s="280"/>
      <c r="AS391" s="280"/>
      <c r="AT391" s="280"/>
      <c r="AU391" s="280"/>
      <c r="AV391" s="280"/>
      <c r="AW391" s="280"/>
      <c r="AX391" s="280"/>
      <c r="AY391" s="280"/>
      <c r="AZ391" s="280"/>
      <c r="BA391" s="280"/>
      <c r="BB391" s="280"/>
      <c r="BC391" s="280"/>
      <c r="BD391" s="280"/>
      <c r="BE391" s="280"/>
      <c r="BF391" s="280"/>
      <c r="BG391" s="280"/>
      <c r="BH391" s="280"/>
      <c r="BI391" s="280"/>
      <c r="BJ391" s="280"/>
      <c r="BK391" s="280"/>
      <c r="BL391" s="280"/>
      <c r="BM391" s="280"/>
      <c r="BN391" s="280"/>
      <c r="BO391" s="280"/>
      <c r="BP391" s="280"/>
      <c r="BQ391" s="280"/>
      <c r="BR391" s="280"/>
      <c r="BS391" s="280"/>
      <c r="BT391" s="280"/>
      <c r="BU391" s="280"/>
      <c r="BV391" s="280"/>
    </row>
    <row r="392" spans="2:74" x14ac:dyDescent="0.2">
      <c r="B392" s="280"/>
      <c r="D392" s="280"/>
      <c r="E392" s="280"/>
      <c r="F392" s="280"/>
      <c r="G392" s="280"/>
      <c r="H392" s="280"/>
      <c r="I392" s="280"/>
      <c r="J392" s="280"/>
      <c r="K392" s="280"/>
      <c r="L392" s="280"/>
      <c r="M392" s="280"/>
      <c r="N392" s="280"/>
      <c r="O392" s="280"/>
      <c r="P392" s="280"/>
      <c r="Q392" s="280"/>
      <c r="R392" s="280"/>
      <c r="S392" s="280"/>
      <c r="T392" s="280"/>
      <c r="U392" s="280"/>
      <c r="V392" s="280"/>
      <c r="W392" s="280"/>
      <c r="X392" s="280"/>
      <c r="Y392" s="280"/>
      <c r="Z392" s="280"/>
      <c r="AA392" s="280"/>
      <c r="AB392" s="280"/>
      <c r="AC392" s="280"/>
      <c r="AD392" s="280"/>
      <c r="AE392" s="280"/>
      <c r="AF392" s="280"/>
      <c r="AG392" s="280"/>
      <c r="AH392" s="280"/>
      <c r="AI392" s="280"/>
      <c r="AJ392" s="280"/>
      <c r="AK392" s="280"/>
      <c r="AL392" s="280"/>
      <c r="AM392" s="280"/>
      <c r="AN392" s="280"/>
      <c r="AO392" s="280"/>
      <c r="AP392" s="280"/>
      <c r="AQ392" s="280"/>
      <c r="AR392" s="280"/>
      <c r="AS392" s="280"/>
      <c r="AT392" s="280"/>
      <c r="AU392" s="280"/>
      <c r="AV392" s="280"/>
      <c r="AW392" s="280"/>
      <c r="AX392" s="280"/>
      <c r="AY392" s="280"/>
      <c r="AZ392" s="280"/>
      <c r="BA392" s="280"/>
      <c r="BB392" s="280"/>
      <c r="BC392" s="280"/>
      <c r="BD392" s="280"/>
      <c r="BE392" s="280"/>
      <c r="BF392" s="280"/>
      <c r="BG392" s="280"/>
      <c r="BH392" s="280"/>
      <c r="BI392" s="280"/>
      <c r="BJ392" s="280"/>
      <c r="BK392" s="280"/>
      <c r="BL392" s="280"/>
      <c r="BM392" s="280"/>
      <c r="BN392" s="280"/>
      <c r="BO392" s="280"/>
      <c r="BP392" s="280"/>
      <c r="BQ392" s="280"/>
      <c r="BR392" s="280"/>
      <c r="BS392" s="280"/>
      <c r="BT392" s="280"/>
      <c r="BU392" s="280"/>
      <c r="BV392" s="280"/>
    </row>
    <row r="393" spans="2:74" x14ac:dyDescent="0.2">
      <c r="B393" s="280"/>
      <c r="D393" s="280"/>
      <c r="E393" s="280"/>
      <c r="F393" s="280"/>
      <c r="G393" s="280"/>
      <c r="H393" s="280"/>
      <c r="I393" s="280"/>
      <c r="J393" s="280"/>
      <c r="K393" s="280"/>
      <c r="L393" s="280"/>
      <c r="M393" s="280"/>
      <c r="N393" s="280"/>
      <c r="O393" s="280"/>
      <c r="P393" s="280"/>
      <c r="Q393" s="280"/>
      <c r="R393" s="280"/>
      <c r="S393" s="280"/>
      <c r="T393" s="280"/>
      <c r="U393" s="280"/>
      <c r="V393" s="280"/>
      <c r="W393" s="280"/>
      <c r="X393" s="280"/>
      <c r="Y393" s="280"/>
      <c r="Z393" s="280"/>
      <c r="AA393" s="280"/>
      <c r="AB393" s="280"/>
      <c r="AC393" s="280"/>
      <c r="AD393" s="280"/>
      <c r="AE393" s="280"/>
      <c r="AF393" s="280"/>
      <c r="AG393" s="280"/>
      <c r="AH393" s="280"/>
      <c r="AI393" s="280"/>
      <c r="AJ393" s="280"/>
      <c r="AK393" s="280"/>
      <c r="AL393" s="280"/>
      <c r="AM393" s="280"/>
      <c r="AN393" s="280"/>
      <c r="AO393" s="280"/>
      <c r="AP393" s="280"/>
      <c r="AQ393" s="280"/>
      <c r="AR393" s="280"/>
      <c r="AS393" s="280"/>
      <c r="AT393" s="280"/>
      <c r="AU393" s="280"/>
      <c r="AV393" s="280"/>
      <c r="AW393" s="280"/>
      <c r="AX393" s="280"/>
      <c r="AY393" s="280"/>
      <c r="AZ393" s="280"/>
      <c r="BA393" s="280"/>
      <c r="BB393" s="280"/>
      <c r="BC393" s="280"/>
      <c r="BD393" s="280"/>
      <c r="BE393" s="280"/>
      <c r="BF393" s="280"/>
      <c r="BG393" s="280"/>
      <c r="BH393" s="280"/>
      <c r="BI393" s="280"/>
      <c r="BJ393" s="280"/>
      <c r="BK393" s="280"/>
      <c r="BL393" s="280"/>
      <c r="BM393" s="280"/>
      <c r="BN393" s="280"/>
      <c r="BO393" s="280"/>
      <c r="BP393" s="280"/>
      <c r="BQ393" s="280"/>
      <c r="BR393" s="280"/>
      <c r="BS393" s="280"/>
      <c r="BT393" s="280"/>
      <c r="BU393" s="280"/>
      <c r="BV393" s="280"/>
    </row>
    <row r="394" spans="2:74" x14ac:dyDescent="0.2">
      <c r="B394" s="280"/>
      <c r="D394" s="280"/>
      <c r="E394" s="280"/>
      <c r="F394" s="280"/>
      <c r="G394" s="280"/>
      <c r="H394" s="280"/>
      <c r="I394" s="280"/>
      <c r="J394" s="280"/>
      <c r="K394" s="280"/>
      <c r="L394" s="280"/>
      <c r="M394" s="280"/>
      <c r="N394" s="280"/>
      <c r="O394" s="280"/>
      <c r="P394" s="280"/>
      <c r="Q394" s="280"/>
      <c r="R394" s="280"/>
      <c r="S394" s="280"/>
      <c r="T394" s="280"/>
      <c r="U394" s="280"/>
      <c r="V394" s="280"/>
      <c r="W394" s="280"/>
      <c r="X394" s="280"/>
      <c r="Y394" s="280"/>
      <c r="Z394" s="280"/>
      <c r="AA394" s="280"/>
      <c r="AB394" s="280"/>
      <c r="AC394" s="280"/>
      <c r="AD394" s="280"/>
      <c r="AE394" s="280"/>
      <c r="AF394" s="280"/>
      <c r="AG394" s="280"/>
      <c r="AH394" s="280"/>
      <c r="AI394" s="280"/>
      <c r="AJ394" s="280"/>
      <c r="AK394" s="280"/>
      <c r="AL394" s="280"/>
      <c r="AM394" s="280"/>
      <c r="AN394" s="280"/>
      <c r="AO394" s="280"/>
      <c r="AP394" s="280"/>
      <c r="AQ394" s="280"/>
      <c r="AR394" s="280"/>
      <c r="AS394" s="280"/>
      <c r="AT394" s="280"/>
      <c r="AU394" s="280"/>
      <c r="AV394" s="280"/>
      <c r="AW394" s="280"/>
      <c r="AX394" s="280"/>
      <c r="AY394" s="280"/>
      <c r="AZ394" s="280"/>
      <c r="BA394" s="280"/>
      <c r="BB394" s="280"/>
      <c r="BC394" s="280"/>
      <c r="BD394" s="280"/>
      <c r="BE394" s="280"/>
      <c r="BF394" s="280"/>
      <c r="BG394" s="280"/>
      <c r="BH394" s="280"/>
      <c r="BI394" s="280"/>
      <c r="BJ394" s="280"/>
      <c r="BK394" s="280"/>
      <c r="BL394" s="280"/>
      <c r="BM394" s="280"/>
      <c r="BN394" s="280"/>
      <c r="BO394" s="280"/>
      <c r="BP394" s="280"/>
      <c r="BQ394" s="280"/>
      <c r="BR394" s="280"/>
      <c r="BS394" s="280"/>
      <c r="BT394" s="280"/>
      <c r="BU394" s="280"/>
      <c r="BV394" s="280"/>
    </row>
    <row r="395" spans="2:74" x14ac:dyDescent="0.2">
      <c r="B395" s="280"/>
      <c r="D395" s="280"/>
      <c r="E395" s="280"/>
      <c r="F395" s="280"/>
      <c r="G395" s="280"/>
      <c r="H395" s="280"/>
      <c r="I395" s="280"/>
      <c r="J395" s="280"/>
      <c r="K395" s="280"/>
      <c r="L395" s="280"/>
      <c r="M395" s="280"/>
      <c r="N395" s="280"/>
      <c r="O395" s="280"/>
      <c r="P395" s="280"/>
      <c r="Q395" s="280"/>
      <c r="R395" s="280"/>
      <c r="S395" s="280"/>
      <c r="T395" s="280"/>
      <c r="U395" s="280"/>
      <c r="V395" s="280"/>
      <c r="W395" s="280"/>
      <c r="X395" s="280"/>
      <c r="Y395" s="280"/>
      <c r="Z395" s="280"/>
      <c r="AA395" s="280"/>
      <c r="AB395" s="280"/>
      <c r="AC395" s="280"/>
      <c r="AD395" s="280"/>
      <c r="AE395" s="280"/>
      <c r="AF395" s="280"/>
      <c r="AG395" s="280"/>
      <c r="AH395" s="280"/>
      <c r="AI395" s="280"/>
      <c r="AJ395" s="280"/>
      <c r="AK395" s="280"/>
      <c r="AL395" s="280"/>
      <c r="AM395" s="280"/>
      <c r="AN395" s="280"/>
      <c r="AO395" s="280"/>
      <c r="AP395" s="280"/>
      <c r="AQ395" s="280"/>
      <c r="AR395" s="280"/>
      <c r="AS395" s="280"/>
      <c r="AT395" s="280"/>
      <c r="AU395" s="280"/>
      <c r="AV395" s="280"/>
      <c r="AW395" s="280"/>
      <c r="AX395" s="280"/>
      <c r="AY395" s="280"/>
      <c r="AZ395" s="280"/>
      <c r="BA395" s="280"/>
      <c r="BB395" s="280"/>
      <c r="BC395" s="280"/>
      <c r="BD395" s="280"/>
      <c r="BE395" s="280"/>
      <c r="BF395" s="280"/>
      <c r="BG395" s="280"/>
      <c r="BH395" s="280"/>
      <c r="BI395" s="280"/>
      <c r="BJ395" s="280"/>
      <c r="BK395" s="280"/>
      <c r="BL395" s="280"/>
      <c r="BM395" s="280"/>
      <c r="BN395" s="280"/>
      <c r="BO395" s="280"/>
      <c r="BP395" s="280"/>
      <c r="BQ395" s="280"/>
      <c r="BR395" s="280"/>
      <c r="BS395" s="280"/>
      <c r="BT395" s="280"/>
      <c r="BU395" s="280"/>
      <c r="BV395" s="280"/>
    </row>
    <row r="396" spans="2:74" x14ac:dyDescent="0.2">
      <c r="B396" s="280"/>
      <c r="D396" s="280"/>
      <c r="E396" s="280"/>
      <c r="F396" s="280"/>
      <c r="G396" s="280"/>
      <c r="H396" s="280"/>
      <c r="I396" s="280"/>
      <c r="J396" s="280"/>
      <c r="K396" s="280"/>
      <c r="L396" s="280"/>
      <c r="M396" s="280"/>
      <c r="N396" s="280"/>
      <c r="O396" s="280"/>
      <c r="P396" s="280"/>
      <c r="Q396" s="280"/>
      <c r="R396" s="280"/>
      <c r="S396" s="280"/>
      <c r="T396" s="280"/>
      <c r="U396" s="280"/>
      <c r="V396" s="280"/>
      <c r="W396" s="280"/>
      <c r="X396" s="280"/>
      <c r="Y396" s="280"/>
      <c r="Z396" s="280"/>
      <c r="AA396" s="280"/>
      <c r="AB396" s="280"/>
      <c r="AC396" s="280"/>
      <c r="AD396" s="280"/>
      <c r="AE396" s="280"/>
      <c r="AF396" s="280"/>
      <c r="AG396" s="280"/>
      <c r="AH396" s="280"/>
      <c r="AI396" s="280"/>
      <c r="AJ396" s="280"/>
      <c r="AK396" s="280"/>
      <c r="AL396" s="280"/>
      <c r="AM396" s="280"/>
      <c r="AN396" s="280"/>
      <c r="AO396" s="280"/>
      <c r="AP396" s="280"/>
      <c r="AQ396" s="280"/>
      <c r="AR396" s="280"/>
      <c r="AS396" s="280"/>
      <c r="AT396" s="280"/>
      <c r="AU396" s="280"/>
      <c r="AV396" s="280"/>
      <c r="AW396" s="280"/>
      <c r="AX396" s="280"/>
      <c r="AY396" s="280"/>
      <c r="AZ396" s="280"/>
      <c r="BA396" s="280"/>
      <c r="BB396" s="280"/>
      <c r="BC396" s="280"/>
      <c r="BD396" s="280"/>
      <c r="BE396" s="280"/>
      <c r="BF396" s="280"/>
      <c r="BG396" s="280"/>
      <c r="BH396" s="280"/>
      <c r="BI396" s="280"/>
      <c r="BJ396" s="280"/>
      <c r="BK396" s="280"/>
      <c r="BL396" s="280"/>
      <c r="BM396" s="280"/>
      <c r="BN396" s="280"/>
      <c r="BO396" s="280"/>
      <c r="BP396" s="280"/>
      <c r="BQ396" s="280"/>
      <c r="BR396" s="280"/>
      <c r="BS396" s="280"/>
      <c r="BT396" s="280"/>
      <c r="BU396" s="280"/>
      <c r="BV396" s="280"/>
    </row>
    <row r="397" spans="2:74" x14ac:dyDescent="0.2">
      <c r="B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c r="AA397" s="280"/>
      <c r="AB397" s="280"/>
      <c r="AC397" s="280"/>
      <c r="AD397" s="280"/>
      <c r="AE397" s="280"/>
      <c r="AF397" s="280"/>
      <c r="AG397" s="280"/>
      <c r="AH397" s="280"/>
      <c r="AI397" s="280"/>
      <c r="AJ397" s="280"/>
      <c r="AK397" s="280"/>
      <c r="AL397" s="280"/>
      <c r="AM397" s="280"/>
      <c r="AN397" s="280"/>
      <c r="AO397" s="280"/>
      <c r="AP397" s="280"/>
      <c r="AQ397" s="280"/>
      <c r="AR397" s="280"/>
      <c r="AS397" s="280"/>
      <c r="AT397" s="280"/>
      <c r="AU397" s="280"/>
      <c r="AV397" s="280"/>
      <c r="AW397" s="280"/>
      <c r="AX397" s="280"/>
      <c r="AY397" s="280"/>
      <c r="AZ397" s="280"/>
      <c r="BA397" s="280"/>
      <c r="BB397" s="280"/>
      <c r="BC397" s="280"/>
      <c r="BD397" s="280"/>
      <c r="BE397" s="280"/>
      <c r="BF397" s="280"/>
      <c r="BG397" s="280"/>
      <c r="BH397" s="280"/>
      <c r="BI397" s="280"/>
      <c r="BJ397" s="280"/>
      <c r="BK397" s="280"/>
      <c r="BL397" s="280"/>
      <c r="BM397" s="280"/>
      <c r="BN397" s="280"/>
      <c r="BO397" s="280"/>
      <c r="BP397" s="280"/>
      <c r="BQ397" s="280"/>
      <c r="BR397" s="280"/>
      <c r="BS397" s="280"/>
      <c r="BT397" s="280"/>
      <c r="BU397" s="280"/>
      <c r="BV397" s="280"/>
    </row>
    <row r="398" spans="2:74" x14ac:dyDescent="0.2">
      <c r="B398" s="280"/>
      <c r="D398" s="280"/>
      <c r="E398" s="280"/>
      <c r="F398" s="280"/>
      <c r="G398" s="280"/>
      <c r="H398" s="280"/>
      <c r="I398" s="280"/>
      <c r="J398" s="280"/>
      <c r="K398" s="280"/>
      <c r="L398" s="280"/>
      <c r="M398" s="280"/>
      <c r="N398" s="280"/>
      <c r="O398" s="280"/>
      <c r="P398" s="280"/>
      <c r="Q398" s="280"/>
      <c r="R398" s="280"/>
      <c r="S398" s="280"/>
      <c r="T398" s="280"/>
      <c r="U398" s="280"/>
      <c r="V398" s="280"/>
      <c r="W398" s="280"/>
      <c r="X398" s="280"/>
      <c r="Y398" s="280"/>
      <c r="Z398" s="280"/>
      <c r="AA398" s="280"/>
      <c r="AB398" s="280"/>
      <c r="AC398" s="280"/>
      <c r="AD398" s="280"/>
      <c r="AE398" s="280"/>
      <c r="AF398" s="280"/>
      <c r="AG398" s="280"/>
      <c r="AH398" s="280"/>
      <c r="AI398" s="280"/>
      <c r="AJ398" s="280"/>
      <c r="AK398" s="280"/>
      <c r="AL398" s="280"/>
      <c r="AM398" s="280"/>
      <c r="AN398" s="280"/>
      <c r="AO398" s="280"/>
      <c r="AP398" s="280"/>
      <c r="AQ398" s="280"/>
      <c r="AR398" s="280"/>
      <c r="AS398" s="280"/>
      <c r="AT398" s="280"/>
      <c r="AU398" s="280"/>
      <c r="AV398" s="280"/>
      <c r="AW398" s="280"/>
      <c r="AX398" s="280"/>
      <c r="AY398" s="280"/>
      <c r="AZ398" s="280"/>
      <c r="BA398" s="280"/>
      <c r="BB398" s="280"/>
      <c r="BC398" s="280"/>
      <c r="BD398" s="280"/>
      <c r="BE398" s="280"/>
      <c r="BF398" s="280"/>
      <c r="BG398" s="280"/>
      <c r="BH398" s="280"/>
      <c r="BI398" s="280"/>
      <c r="BJ398" s="280"/>
      <c r="BK398" s="280"/>
      <c r="BL398" s="280"/>
      <c r="BM398" s="280"/>
      <c r="BN398" s="280"/>
      <c r="BO398" s="280"/>
      <c r="BP398" s="280"/>
      <c r="BQ398" s="280"/>
      <c r="BR398" s="280"/>
      <c r="BS398" s="280"/>
      <c r="BT398" s="280"/>
      <c r="BU398" s="280"/>
      <c r="BV398" s="280"/>
    </row>
    <row r="399" spans="2:74" x14ac:dyDescent="0.2">
      <c r="B399" s="280"/>
      <c r="D399" s="280"/>
      <c r="E399" s="280"/>
      <c r="F399" s="280"/>
      <c r="G399" s="280"/>
      <c r="H399" s="280"/>
      <c r="I399" s="280"/>
      <c r="J399" s="280"/>
      <c r="K399" s="280"/>
      <c r="L399" s="280"/>
      <c r="M399" s="280"/>
      <c r="N399" s="280"/>
      <c r="O399" s="280"/>
      <c r="P399" s="280"/>
      <c r="Q399" s="280"/>
      <c r="R399" s="280"/>
      <c r="S399" s="280"/>
      <c r="T399" s="280"/>
      <c r="U399" s="280"/>
      <c r="V399" s="280"/>
      <c r="W399" s="280"/>
      <c r="X399" s="280"/>
      <c r="Y399" s="280"/>
      <c r="Z399" s="280"/>
      <c r="AA399" s="280"/>
      <c r="AB399" s="280"/>
      <c r="AC399" s="280"/>
      <c r="AD399" s="280"/>
      <c r="AE399" s="280"/>
      <c r="AF399" s="280"/>
      <c r="AG399" s="280"/>
      <c r="AH399" s="280"/>
      <c r="AI399" s="280"/>
      <c r="AJ399" s="280"/>
      <c r="AK399" s="280"/>
      <c r="AL399" s="280"/>
      <c r="AM399" s="280"/>
      <c r="AN399" s="280"/>
      <c r="AO399" s="280"/>
      <c r="AP399" s="280"/>
      <c r="AQ399" s="280"/>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row>
    <row r="400" spans="2:74" x14ac:dyDescent="0.2">
      <c r="B400" s="280"/>
      <c r="D400" s="280"/>
      <c r="E400" s="280"/>
      <c r="F400" s="280"/>
      <c r="G400" s="280"/>
      <c r="H400" s="280"/>
      <c r="I400" s="280"/>
      <c r="J400" s="280"/>
      <c r="K400" s="280"/>
      <c r="L400" s="280"/>
      <c r="M400" s="280"/>
      <c r="N400" s="280"/>
      <c r="O400" s="280"/>
      <c r="P400" s="280"/>
      <c r="Q400" s="280"/>
      <c r="R400" s="280"/>
      <c r="S400" s="280"/>
      <c r="T400" s="280"/>
      <c r="U400" s="280"/>
      <c r="V400" s="280"/>
      <c r="W400" s="280"/>
      <c r="X400" s="280"/>
      <c r="Y400" s="280"/>
      <c r="Z400" s="280"/>
      <c r="AA400" s="280"/>
      <c r="AB400" s="280"/>
      <c r="AC400" s="280"/>
      <c r="AD400" s="280"/>
      <c r="AE400" s="280"/>
      <c r="AF400" s="280"/>
      <c r="AG400" s="280"/>
      <c r="AH400" s="280"/>
      <c r="AI400" s="280"/>
      <c r="AJ400" s="280"/>
      <c r="AK400" s="280"/>
      <c r="AL400" s="280"/>
      <c r="AM400" s="280"/>
      <c r="AN400" s="280"/>
      <c r="AO400" s="280"/>
      <c r="AP400" s="280"/>
      <c r="AQ400" s="280"/>
      <c r="AR400" s="280"/>
      <c r="AS400" s="280"/>
      <c r="AT400" s="280"/>
      <c r="AU400" s="280"/>
      <c r="AV400" s="280"/>
      <c r="AW400" s="280"/>
      <c r="AX400" s="280"/>
      <c r="AY400" s="280"/>
      <c r="AZ400" s="280"/>
      <c r="BA400" s="280"/>
      <c r="BB400" s="280"/>
      <c r="BC400" s="280"/>
      <c r="BD400" s="280"/>
      <c r="BE400" s="280"/>
      <c r="BF400" s="280"/>
      <c r="BG400" s="280"/>
      <c r="BH400" s="280"/>
      <c r="BI400" s="280"/>
      <c r="BJ400" s="280"/>
      <c r="BK400" s="280"/>
      <c r="BL400" s="280"/>
      <c r="BM400" s="280"/>
      <c r="BN400" s="280"/>
      <c r="BO400" s="280"/>
      <c r="BP400" s="280"/>
      <c r="BQ400" s="280"/>
      <c r="BR400" s="280"/>
      <c r="BS400" s="280"/>
      <c r="BT400" s="280"/>
      <c r="BU400" s="280"/>
      <c r="BV400" s="280"/>
    </row>
    <row r="401" spans="2:74" x14ac:dyDescent="0.2">
      <c r="B401" s="280"/>
      <c r="D401" s="280"/>
      <c r="E401" s="280"/>
      <c r="F401" s="280"/>
      <c r="G401" s="280"/>
      <c r="H401" s="280"/>
      <c r="I401" s="280"/>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c r="AH401" s="280"/>
      <c r="AI401" s="280"/>
      <c r="AJ401" s="280"/>
      <c r="AK401" s="280"/>
      <c r="AL401" s="280"/>
      <c r="AM401" s="280"/>
      <c r="AN401" s="280"/>
      <c r="AO401" s="280"/>
      <c r="AP401" s="280"/>
      <c r="AQ401" s="280"/>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280"/>
      <c r="BP401" s="280"/>
      <c r="BQ401" s="280"/>
      <c r="BR401" s="280"/>
      <c r="BS401" s="280"/>
      <c r="BT401" s="280"/>
      <c r="BU401" s="280"/>
      <c r="BV401" s="280"/>
    </row>
    <row r="402" spans="2:74" x14ac:dyDescent="0.2">
      <c r="B402" s="280"/>
      <c r="D402" s="280"/>
      <c r="E402" s="280"/>
      <c r="F402" s="280"/>
      <c r="G402" s="280"/>
      <c r="H402" s="280"/>
      <c r="I402" s="280"/>
      <c r="J402" s="280"/>
      <c r="K402" s="280"/>
      <c r="L402" s="280"/>
      <c r="M402" s="280"/>
      <c r="N402" s="280"/>
      <c r="O402" s="280"/>
      <c r="P402" s="280"/>
      <c r="Q402" s="280"/>
      <c r="R402" s="280"/>
      <c r="S402" s="280"/>
      <c r="T402" s="280"/>
      <c r="U402" s="280"/>
      <c r="V402" s="280"/>
      <c r="W402" s="280"/>
      <c r="X402" s="280"/>
      <c r="Y402" s="280"/>
      <c r="Z402" s="280"/>
      <c r="AA402" s="280"/>
      <c r="AB402" s="280"/>
      <c r="AC402" s="280"/>
      <c r="AD402" s="280"/>
      <c r="AE402" s="280"/>
      <c r="AF402" s="280"/>
      <c r="AG402" s="280"/>
      <c r="AH402" s="280"/>
      <c r="AI402" s="280"/>
      <c r="AJ402" s="280"/>
      <c r="AK402" s="280"/>
      <c r="AL402" s="280"/>
      <c r="AM402" s="280"/>
      <c r="AN402" s="280"/>
      <c r="AO402" s="280"/>
      <c r="AP402" s="280"/>
      <c r="AQ402" s="280"/>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row>
    <row r="403" spans="2:74" x14ac:dyDescent="0.2">
      <c r="B403" s="280"/>
      <c r="D403" s="280"/>
      <c r="E403" s="280"/>
      <c r="F403" s="280"/>
      <c r="G403" s="280"/>
      <c r="H403" s="280"/>
      <c r="I403" s="280"/>
      <c r="J403" s="280"/>
      <c r="K403" s="280"/>
      <c r="L403" s="280"/>
      <c r="M403" s="280"/>
      <c r="N403" s="280"/>
      <c r="O403" s="280"/>
      <c r="P403" s="280"/>
      <c r="Q403" s="280"/>
      <c r="R403" s="280"/>
      <c r="S403" s="280"/>
      <c r="T403" s="280"/>
      <c r="U403" s="280"/>
      <c r="V403" s="280"/>
      <c r="W403" s="280"/>
      <c r="X403" s="280"/>
      <c r="Y403" s="280"/>
      <c r="Z403" s="280"/>
      <c r="AA403" s="280"/>
      <c r="AB403" s="280"/>
      <c r="AC403" s="280"/>
      <c r="AD403" s="280"/>
      <c r="AE403" s="280"/>
      <c r="AF403" s="280"/>
      <c r="AG403" s="280"/>
      <c r="AH403" s="280"/>
      <c r="AI403" s="280"/>
      <c r="AJ403" s="280"/>
      <c r="AK403" s="280"/>
      <c r="AL403" s="280"/>
      <c r="AM403" s="280"/>
      <c r="AN403" s="280"/>
      <c r="AO403" s="280"/>
      <c r="AP403" s="280"/>
      <c r="AQ403" s="280"/>
      <c r="AR403" s="280"/>
      <c r="AS403" s="280"/>
      <c r="AT403" s="280"/>
      <c r="AU403" s="280"/>
      <c r="AV403" s="280"/>
      <c r="AW403" s="280"/>
      <c r="AX403" s="280"/>
      <c r="AY403" s="280"/>
      <c r="AZ403" s="280"/>
      <c r="BA403" s="280"/>
      <c r="BB403" s="280"/>
      <c r="BC403" s="280"/>
      <c r="BD403" s="280"/>
      <c r="BE403" s="280"/>
      <c r="BF403" s="280"/>
      <c r="BG403" s="280"/>
      <c r="BH403" s="280"/>
      <c r="BI403" s="280"/>
      <c r="BJ403" s="280"/>
      <c r="BK403" s="280"/>
      <c r="BL403" s="280"/>
      <c r="BM403" s="280"/>
      <c r="BN403" s="280"/>
      <c r="BO403" s="280"/>
      <c r="BP403" s="280"/>
      <c r="BQ403" s="280"/>
      <c r="BR403" s="280"/>
      <c r="BS403" s="280"/>
      <c r="BT403" s="280"/>
      <c r="BU403" s="280"/>
      <c r="BV403" s="280"/>
    </row>
    <row r="404" spans="2:74" x14ac:dyDescent="0.2">
      <c r="B404" s="280"/>
      <c r="D404" s="280"/>
      <c r="E404" s="280"/>
      <c r="F404" s="280"/>
      <c r="G404" s="280"/>
      <c r="H404" s="280"/>
      <c r="I404" s="280"/>
      <c r="J404" s="280"/>
      <c r="K404" s="280"/>
      <c r="L404" s="280"/>
      <c r="M404" s="280"/>
      <c r="N404" s="280"/>
      <c r="O404" s="280"/>
      <c r="P404" s="280"/>
      <c r="Q404" s="280"/>
      <c r="R404" s="280"/>
      <c r="S404" s="280"/>
      <c r="T404" s="280"/>
      <c r="U404" s="280"/>
      <c r="V404" s="280"/>
      <c r="W404" s="280"/>
      <c r="X404" s="280"/>
      <c r="Y404" s="280"/>
      <c r="Z404" s="280"/>
      <c r="AA404" s="280"/>
      <c r="AB404" s="280"/>
      <c r="AC404" s="280"/>
      <c r="AD404" s="280"/>
      <c r="AE404" s="280"/>
      <c r="AF404" s="280"/>
      <c r="AG404" s="280"/>
      <c r="AH404" s="280"/>
      <c r="AI404" s="280"/>
      <c r="AJ404" s="280"/>
      <c r="AK404" s="280"/>
      <c r="AL404" s="280"/>
      <c r="AM404" s="280"/>
      <c r="AN404" s="280"/>
      <c r="AO404" s="280"/>
      <c r="AP404" s="280"/>
      <c r="AQ404" s="280"/>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c r="BO404" s="280"/>
      <c r="BP404" s="280"/>
      <c r="BQ404" s="280"/>
      <c r="BR404" s="280"/>
      <c r="BS404" s="280"/>
      <c r="BT404" s="280"/>
      <c r="BU404" s="280"/>
      <c r="BV404" s="280"/>
    </row>
    <row r="405" spans="2:74" x14ac:dyDescent="0.2">
      <c r="B405" s="280"/>
      <c r="D405" s="280"/>
      <c r="E405" s="280"/>
      <c r="F405" s="280"/>
      <c r="G405" s="280"/>
      <c r="H405" s="280"/>
      <c r="I405" s="280"/>
      <c r="J405" s="280"/>
      <c r="K405" s="280"/>
      <c r="L405" s="280"/>
      <c r="M405" s="280"/>
      <c r="N405" s="280"/>
      <c r="O405" s="280"/>
      <c r="P405" s="280"/>
      <c r="Q405" s="280"/>
      <c r="R405" s="280"/>
      <c r="S405" s="280"/>
      <c r="T405" s="280"/>
      <c r="U405" s="280"/>
      <c r="V405" s="280"/>
      <c r="W405" s="280"/>
      <c r="X405" s="280"/>
      <c r="Y405" s="280"/>
      <c r="Z405" s="280"/>
      <c r="AA405" s="280"/>
      <c r="AB405" s="280"/>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c r="BV405" s="280"/>
    </row>
    <row r="406" spans="2:74" x14ac:dyDescent="0.2">
      <c r="B406" s="280"/>
      <c r="D406" s="280"/>
      <c r="E406" s="280"/>
      <c r="F406" s="280"/>
      <c r="G406" s="280"/>
      <c r="H406" s="280"/>
      <c r="I406" s="280"/>
      <c r="J406" s="280"/>
      <c r="K406" s="280"/>
      <c r="L406" s="280"/>
      <c r="M406" s="280"/>
      <c r="N406" s="280"/>
      <c r="O406" s="280"/>
      <c r="P406" s="280"/>
      <c r="Q406" s="280"/>
      <c r="R406" s="280"/>
      <c r="S406" s="280"/>
      <c r="T406" s="280"/>
      <c r="U406" s="280"/>
      <c r="V406" s="280"/>
      <c r="W406" s="280"/>
      <c r="X406" s="280"/>
      <c r="Y406" s="280"/>
      <c r="Z406" s="280"/>
      <c r="AA406" s="280"/>
      <c r="AB406" s="280"/>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c r="BV406" s="280"/>
    </row>
    <row r="407" spans="2:74" x14ac:dyDescent="0.2">
      <c r="B407" s="280"/>
      <c r="D407" s="280"/>
      <c r="E407" s="280"/>
      <c r="F407" s="280"/>
      <c r="G407" s="280"/>
      <c r="H407" s="280"/>
      <c r="I407" s="280"/>
      <c r="J407" s="280"/>
      <c r="K407" s="280"/>
      <c r="L407" s="280"/>
      <c r="M407" s="280"/>
      <c r="N407" s="280"/>
      <c r="O407" s="280"/>
      <c r="P407" s="280"/>
      <c r="Q407" s="280"/>
      <c r="R407" s="280"/>
      <c r="S407" s="280"/>
      <c r="T407" s="280"/>
      <c r="U407" s="280"/>
      <c r="V407" s="280"/>
      <c r="W407" s="280"/>
      <c r="X407" s="280"/>
      <c r="Y407" s="280"/>
      <c r="Z407" s="280"/>
      <c r="AA407" s="280"/>
      <c r="AB407" s="280"/>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c r="BV407" s="280"/>
    </row>
    <row r="408" spans="2:74" x14ac:dyDescent="0.2">
      <c r="B408" s="280"/>
      <c r="D408" s="280"/>
      <c r="E408" s="280"/>
      <c r="F408" s="280"/>
      <c r="G408" s="280"/>
      <c r="H408" s="280"/>
      <c r="I408" s="280"/>
      <c r="J408" s="280"/>
      <c r="K408" s="280"/>
      <c r="L408" s="280"/>
      <c r="M408" s="280"/>
      <c r="N408" s="280"/>
      <c r="O408" s="280"/>
      <c r="P408" s="280"/>
      <c r="Q408" s="280"/>
      <c r="R408" s="280"/>
      <c r="S408" s="280"/>
      <c r="T408" s="280"/>
      <c r="U408" s="280"/>
      <c r="V408" s="280"/>
      <c r="W408" s="280"/>
      <c r="X408" s="280"/>
      <c r="Y408" s="280"/>
      <c r="Z408" s="280"/>
      <c r="AA408" s="280"/>
      <c r="AB408" s="280"/>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c r="BV408" s="280"/>
    </row>
    <row r="409" spans="2:74" x14ac:dyDescent="0.2">
      <c r="B409" s="280"/>
      <c r="D409" s="280"/>
      <c r="E409" s="280"/>
      <c r="F409" s="280"/>
      <c r="G409" s="280"/>
      <c r="H409" s="280"/>
      <c r="I409" s="280"/>
      <c r="J409" s="280"/>
      <c r="K409" s="280"/>
      <c r="L409" s="280"/>
      <c r="M409" s="280"/>
      <c r="N409" s="280"/>
      <c r="O409" s="280"/>
      <c r="P409" s="280"/>
      <c r="Q409" s="280"/>
      <c r="R409" s="280"/>
      <c r="S409" s="280"/>
      <c r="T409" s="280"/>
      <c r="U409" s="280"/>
      <c r="V409" s="280"/>
      <c r="W409" s="280"/>
      <c r="X409" s="280"/>
      <c r="Y409" s="280"/>
      <c r="Z409" s="280"/>
      <c r="AA409" s="280"/>
      <c r="AB409" s="280"/>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c r="BV409" s="280"/>
    </row>
    <row r="410" spans="2:74" x14ac:dyDescent="0.2">
      <c r="B410" s="280"/>
      <c r="D410" s="280"/>
      <c r="E410" s="280"/>
      <c r="F410" s="280"/>
      <c r="G410" s="280"/>
      <c r="H410" s="280"/>
      <c r="I410" s="280"/>
      <c r="J410" s="280"/>
      <c r="K410" s="280"/>
      <c r="L410" s="280"/>
      <c r="M410" s="280"/>
      <c r="N410" s="280"/>
      <c r="O410" s="280"/>
      <c r="P410" s="280"/>
      <c r="Q410" s="280"/>
      <c r="R410" s="280"/>
      <c r="S410" s="280"/>
      <c r="T410" s="280"/>
      <c r="U410" s="280"/>
      <c r="V410" s="280"/>
      <c r="W410" s="280"/>
      <c r="X410" s="280"/>
      <c r="Y410" s="280"/>
      <c r="Z410" s="280"/>
      <c r="AA410" s="280"/>
      <c r="AB410" s="280"/>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c r="BV410" s="280"/>
    </row>
    <row r="411" spans="2:74" x14ac:dyDescent="0.2">
      <c r="B411" s="280"/>
      <c r="D411" s="280"/>
      <c r="E411" s="280"/>
      <c r="F411" s="280"/>
      <c r="G411" s="280"/>
      <c r="H411" s="280"/>
      <c r="I411" s="280"/>
      <c r="J411" s="280"/>
      <c r="K411" s="280"/>
      <c r="L411" s="280"/>
      <c r="M411" s="280"/>
      <c r="N411" s="280"/>
      <c r="O411" s="280"/>
      <c r="P411" s="280"/>
      <c r="Q411" s="280"/>
      <c r="R411" s="280"/>
      <c r="S411" s="280"/>
      <c r="T411" s="280"/>
      <c r="U411" s="280"/>
      <c r="V411" s="280"/>
      <c r="W411" s="280"/>
      <c r="X411" s="280"/>
      <c r="Y411" s="280"/>
      <c r="Z411" s="280"/>
      <c r="AA411" s="280"/>
      <c r="AB411" s="280"/>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row>
    <row r="412" spans="2:74" x14ac:dyDescent="0.2">
      <c r="B412" s="280"/>
      <c r="D412" s="280"/>
      <c r="E412" s="280"/>
      <c r="F412" s="280"/>
      <c r="G412" s="280"/>
      <c r="H412" s="280"/>
      <c r="I412" s="280"/>
      <c r="J412" s="280"/>
      <c r="K412" s="280"/>
      <c r="L412" s="280"/>
      <c r="M412" s="280"/>
      <c r="N412" s="280"/>
      <c r="O412" s="280"/>
      <c r="P412" s="280"/>
      <c r="Q412" s="280"/>
      <c r="R412" s="280"/>
      <c r="S412" s="280"/>
      <c r="T412" s="280"/>
      <c r="U412" s="280"/>
      <c r="V412" s="280"/>
      <c r="W412" s="280"/>
      <c r="X412" s="280"/>
      <c r="Y412" s="280"/>
      <c r="Z412" s="280"/>
      <c r="AA412" s="280"/>
      <c r="AB412" s="280"/>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c r="BV412" s="280"/>
    </row>
    <row r="413" spans="2:74" x14ac:dyDescent="0.2">
      <c r="B413" s="280"/>
      <c r="D413" s="280"/>
      <c r="E413" s="280"/>
      <c r="F413" s="280"/>
      <c r="G413" s="280"/>
      <c r="H413" s="280"/>
      <c r="I413" s="280"/>
      <c r="J413" s="280"/>
      <c r="K413" s="280"/>
      <c r="L413" s="280"/>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c r="BV413" s="280"/>
    </row>
    <row r="414" spans="2:74" x14ac:dyDescent="0.2">
      <c r="B414" s="280"/>
      <c r="D414" s="280"/>
      <c r="E414" s="280"/>
      <c r="F414" s="280"/>
      <c r="G414" s="280"/>
      <c r="H414" s="280"/>
      <c r="I414" s="280"/>
      <c r="J414" s="280"/>
      <c r="K414" s="280"/>
      <c r="L414" s="280"/>
      <c r="M414" s="280"/>
      <c r="N414" s="280"/>
      <c r="O414" s="280"/>
      <c r="P414" s="280"/>
      <c r="Q414" s="280"/>
      <c r="R414" s="280"/>
      <c r="S414" s="280"/>
      <c r="T414" s="280"/>
      <c r="U414" s="280"/>
      <c r="V414" s="280"/>
      <c r="W414" s="280"/>
      <c r="X414" s="280"/>
      <c r="Y414" s="280"/>
      <c r="Z414" s="280"/>
      <c r="AA414" s="280"/>
      <c r="AB414" s="280"/>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c r="BV414" s="280"/>
    </row>
    <row r="415" spans="2:74" x14ac:dyDescent="0.2">
      <c r="B415" s="280"/>
      <c r="D415" s="280"/>
      <c r="E415" s="280"/>
      <c r="F415" s="280"/>
      <c r="G415" s="280"/>
      <c r="H415" s="280"/>
      <c r="I415" s="280"/>
      <c r="J415" s="280"/>
      <c r="K415" s="280"/>
      <c r="L415" s="280"/>
      <c r="M415" s="280"/>
      <c r="N415" s="280"/>
      <c r="O415" s="280"/>
      <c r="P415" s="280"/>
      <c r="Q415" s="280"/>
      <c r="R415" s="280"/>
      <c r="S415" s="280"/>
      <c r="T415" s="280"/>
      <c r="U415" s="280"/>
      <c r="V415" s="280"/>
      <c r="W415" s="280"/>
      <c r="X415" s="280"/>
      <c r="Y415" s="280"/>
      <c r="Z415" s="280"/>
      <c r="AA415" s="280"/>
      <c r="AB415" s="280"/>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c r="BV415" s="280"/>
    </row>
    <row r="416" spans="2:74" x14ac:dyDescent="0.2">
      <c r="B416" s="280"/>
      <c r="D416" s="280"/>
      <c r="E416" s="280"/>
      <c r="F416" s="280"/>
      <c r="G416" s="280"/>
      <c r="H416" s="280"/>
      <c r="I416" s="280"/>
      <c r="J416" s="280"/>
      <c r="K416" s="280"/>
      <c r="L416" s="280"/>
      <c r="M416" s="280"/>
      <c r="N416" s="280"/>
      <c r="O416" s="280"/>
      <c r="P416" s="280"/>
      <c r="Q416" s="280"/>
      <c r="R416" s="280"/>
      <c r="S416" s="280"/>
      <c r="T416" s="280"/>
      <c r="U416" s="280"/>
      <c r="V416" s="280"/>
      <c r="W416" s="280"/>
      <c r="X416" s="280"/>
      <c r="Y416" s="280"/>
      <c r="Z416" s="280"/>
      <c r="AA416" s="280"/>
      <c r="AB416" s="280"/>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c r="BV416" s="280"/>
    </row>
    <row r="417" spans="2:74" x14ac:dyDescent="0.2">
      <c r="B417" s="280"/>
      <c r="D417" s="280"/>
      <c r="E417" s="280"/>
      <c r="F417" s="280"/>
      <c r="G417" s="280"/>
      <c r="H417" s="280"/>
      <c r="I417" s="280"/>
      <c r="J417" s="280"/>
      <c r="K417" s="280"/>
      <c r="L417" s="280"/>
      <c r="M417" s="280"/>
      <c r="N417" s="280"/>
      <c r="O417" s="280"/>
      <c r="P417" s="280"/>
      <c r="Q417" s="280"/>
      <c r="R417" s="280"/>
      <c r="S417" s="280"/>
      <c r="T417" s="280"/>
      <c r="U417" s="280"/>
      <c r="V417" s="280"/>
      <c r="W417" s="280"/>
      <c r="X417" s="280"/>
      <c r="Y417" s="280"/>
      <c r="Z417" s="280"/>
      <c r="AA417" s="280"/>
      <c r="AB417" s="280"/>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c r="BV417" s="280"/>
    </row>
    <row r="418" spans="2:74" x14ac:dyDescent="0.2">
      <c r="B418" s="280"/>
      <c r="D418" s="280"/>
      <c r="E418" s="280"/>
      <c r="F418" s="280"/>
      <c r="G418" s="280"/>
      <c r="H418" s="280"/>
      <c r="I418" s="280"/>
      <c r="J418" s="280"/>
      <c r="K418" s="280"/>
      <c r="L418" s="280"/>
      <c r="M418" s="280"/>
      <c r="N418" s="280"/>
      <c r="O418" s="280"/>
      <c r="P418" s="280"/>
      <c r="Q418" s="280"/>
      <c r="R418" s="280"/>
      <c r="S418" s="280"/>
      <c r="T418" s="280"/>
      <c r="U418" s="280"/>
      <c r="V418" s="280"/>
      <c r="W418" s="280"/>
      <c r="X418" s="280"/>
      <c r="Y418" s="280"/>
      <c r="Z418" s="280"/>
      <c r="AA418" s="280"/>
      <c r="AB418" s="280"/>
      <c r="AC418" s="280"/>
      <c r="AD418" s="280"/>
      <c r="AE418" s="280"/>
      <c r="AF418" s="280"/>
      <c r="AG418" s="280"/>
      <c r="AH418" s="280"/>
      <c r="AI418" s="280"/>
      <c r="AJ418" s="280"/>
      <c r="AK418" s="280"/>
      <c r="AL418" s="280"/>
      <c r="AM418" s="280"/>
      <c r="AN418" s="280"/>
      <c r="AO418" s="280"/>
      <c r="AP418" s="280"/>
      <c r="AQ418" s="280"/>
      <c r="AR418" s="280"/>
      <c r="AS418" s="280"/>
      <c r="AT418" s="280"/>
      <c r="AU418" s="280"/>
      <c r="AV418" s="280"/>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row>
    <row r="419" spans="2:74" x14ac:dyDescent="0.2">
      <c r="B419" s="280"/>
      <c r="D419" s="280"/>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c r="AH419" s="280"/>
      <c r="AI419" s="280"/>
      <c r="AJ419" s="280"/>
      <c r="AK419" s="280"/>
      <c r="AL419" s="280"/>
      <c r="AM419" s="280"/>
      <c r="AN419" s="280"/>
      <c r="AO419" s="280"/>
      <c r="AP419" s="280"/>
      <c r="AQ419" s="280"/>
      <c r="AR419" s="280"/>
      <c r="AS419" s="280"/>
      <c r="AT419" s="280"/>
      <c r="AU419" s="280"/>
      <c r="AV419" s="280"/>
      <c r="AW419" s="280"/>
      <c r="AX419" s="280"/>
      <c r="AY419" s="280"/>
      <c r="AZ419" s="280"/>
      <c r="BA419" s="280"/>
      <c r="BB419" s="280"/>
      <c r="BC419" s="280"/>
      <c r="BD419" s="280"/>
      <c r="BE419" s="280"/>
      <c r="BF419" s="280"/>
      <c r="BG419" s="280"/>
      <c r="BH419" s="280"/>
      <c r="BI419" s="280"/>
      <c r="BJ419" s="280"/>
      <c r="BK419" s="280"/>
      <c r="BL419" s="280"/>
      <c r="BM419" s="280"/>
      <c r="BN419" s="280"/>
      <c r="BO419" s="280"/>
      <c r="BP419" s="280"/>
      <c r="BQ419" s="280"/>
      <c r="BR419" s="280"/>
      <c r="BS419" s="280"/>
      <c r="BT419" s="280"/>
      <c r="BU419" s="280"/>
      <c r="BV419" s="280"/>
    </row>
    <row r="420" spans="2:74" x14ac:dyDescent="0.2">
      <c r="B420" s="280"/>
      <c r="D420" s="280"/>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c r="AH420" s="280"/>
      <c r="AI420" s="280"/>
      <c r="AJ420" s="280"/>
      <c r="AK420" s="280"/>
      <c r="AL420" s="280"/>
      <c r="AM420" s="280"/>
      <c r="AN420" s="280"/>
      <c r="AO420" s="280"/>
      <c r="AP420" s="280"/>
      <c r="AQ420" s="280"/>
      <c r="AR420" s="280"/>
      <c r="AS420" s="280"/>
      <c r="AT420" s="280"/>
      <c r="AU420" s="280"/>
      <c r="AV420" s="280"/>
      <c r="AW420" s="280"/>
      <c r="AX420" s="280"/>
      <c r="AY420" s="280"/>
      <c r="AZ420" s="280"/>
      <c r="BA420" s="280"/>
      <c r="BB420" s="280"/>
      <c r="BC420" s="280"/>
      <c r="BD420" s="280"/>
      <c r="BE420" s="280"/>
      <c r="BF420" s="280"/>
      <c r="BG420" s="280"/>
      <c r="BH420" s="280"/>
      <c r="BI420" s="280"/>
      <c r="BJ420" s="280"/>
      <c r="BK420" s="280"/>
      <c r="BL420" s="280"/>
      <c r="BM420" s="280"/>
      <c r="BN420" s="280"/>
      <c r="BO420" s="280"/>
      <c r="BP420" s="280"/>
      <c r="BQ420" s="280"/>
      <c r="BR420" s="280"/>
      <c r="BS420" s="280"/>
      <c r="BT420" s="280"/>
      <c r="BU420" s="280"/>
      <c r="BV420" s="280"/>
    </row>
    <row r="421" spans="2:74" x14ac:dyDescent="0.2">
      <c r="B421" s="280"/>
      <c r="D421" s="280"/>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c r="AH421" s="280"/>
      <c r="AI421" s="280"/>
      <c r="AJ421" s="280"/>
      <c r="AK421" s="280"/>
      <c r="AL421" s="280"/>
      <c r="AM421" s="280"/>
      <c r="AN421" s="280"/>
      <c r="AO421" s="280"/>
      <c r="AP421" s="280"/>
      <c r="AQ421" s="280"/>
      <c r="AR421" s="280"/>
      <c r="AS421" s="280"/>
      <c r="AT421" s="280"/>
      <c r="AU421" s="280"/>
      <c r="AV421" s="280"/>
      <c r="AW421" s="280"/>
      <c r="AX421" s="280"/>
      <c r="AY421" s="280"/>
      <c r="AZ421" s="280"/>
      <c r="BA421" s="280"/>
      <c r="BB421" s="280"/>
      <c r="BC421" s="280"/>
      <c r="BD421" s="280"/>
      <c r="BE421" s="280"/>
      <c r="BF421" s="280"/>
      <c r="BG421" s="280"/>
      <c r="BH421" s="280"/>
      <c r="BI421" s="280"/>
      <c r="BJ421" s="280"/>
      <c r="BK421" s="280"/>
      <c r="BL421" s="280"/>
      <c r="BM421" s="280"/>
      <c r="BN421" s="280"/>
      <c r="BO421" s="280"/>
      <c r="BP421" s="280"/>
      <c r="BQ421" s="280"/>
      <c r="BR421" s="280"/>
      <c r="BS421" s="280"/>
      <c r="BT421" s="280"/>
      <c r="BU421" s="280"/>
      <c r="BV421" s="280"/>
    </row>
    <row r="422" spans="2:74" x14ac:dyDescent="0.2">
      <c r="B422" s="280"/>
      <c r="D422" s="280"/>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80"/>
      <c r="AJ422" s="280"/>
      <c r="AK422" s="280"/>
      <c r="AL422" s="280"/>
      <c r="AM422" s="280"/>
      <c r="AN422" s="280"/>
      <c r="AO422" s="280"/>
      <c r="AP422" s="280"/>
      <c r="AQ422" s="280"/>
      <c r="AR422" s="280"/>
      <c r="AS422" s="280"/>
      <c r="AT422" s="280"/>
      <c r="AU422" s="280"/>
      <c r="AV422" s="280"/>
      <c r="AW422" s="280"/>
      <c r="AX422" s="280"/>
      <c r="AY422" s="280"/>
      <c r="AZ422" s="280"/>
      <c r="BA422" s="280"/>
      <c r="BB422" s="280"/>
      <c r="BC422" s="280"/>
      <c r="BD422" s="280"/>
      <c r="BE422" s="280"/>
      <c r="BF422" s="280"/>
      <c r="BG422" s="280"/>
      <c r="BH422" s="280"/>
      <c r="BI422" s="280"/>
      <c r="BJ422" s="280"/>
      <c r="BK422" s="280"/>
      <c r="BL422" s="280"/>
      <c r="BM422" s="280"/>
      <c r="BN422" s="280"/>
      <c r="BO422" s="280"/>
      <c r="BP422" s="280"/>
      <c r="BQ422" s="280"/>
      <c r="BR422" s="280"/>
      <c r="BS422" s="280"/>
      <c r="BT422" s="280"/>
      <c r="BU422" s="280"/>
      <c r="BV422" s="280"/>
    </row>
    <row r="423" spans="2:74" x14ac:dyDescent="0.2">
      <c r="B423" s="280"/>
      <c r="D423" s="280"/>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80"/>
      <c r="AJ423" s="280"/>
      <c r="AK423" s="280"/>
      <c r="AL423" s="280"/>
      <c r="AM423" s="280"/>
      <c r="AN423" s="280"/>
      <c r="AO423" s="280"/>
      <c r="AP423" s="280"/>
      <c r="AQ423" s="280"/>
      <c r="AR423" s="280"/>
      <c r="AS423" s="280"/>
      <c r="AT423" s="280"/>
      <c r="AU423" s="280"/>
      <c r="AV423" s="280"/>
      <c r="AW423" s="280"/>
      <c r="AX423" s="280"/>
      <c r="AY423" s="280"/>
      <c r="AZ423" s="280"/>
      <c r="BA423" s="280"/>
      <c r="BB423" s="280"/>
      <c r="BC423" s="280"/>
      <c r="BD423" s="280"/>
      <c r="BE423" s="280"/>
      <c r="BF423" s="280"/>
      <c r="BG423" s="280"/>
      <c r="BH423" s="280"/>
      <c r="BI423" s="280"/>
      <c r="BJ423" s="280"/>
      <c r="BK423" s="280"/>
      <c r="BL423" s="280"/>
      <c r="BM423" s="280"/>
      <c r="BN423" s="280"/>
      <c r="BO423" s="280"/>
      <c r="BP423" s="280"/>
      <c r="BQ423" s="280"/>
      <c r="BR423" s="280"/>
      <c r="BS423" s="280"/>
      <c r="BT423" s="280"/>
      <c r="BU423" s="280"/>
      <c r="BV423" s="280"/>
    </row>
    <row r="424" spans="2:74" x14ac:dyDescent="0.2">
      <c r="B424" s="280"/>
      <c r="D424" s="280"/>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80"/>
      <c r="AJ424" s="280"/>
      <c r="AK424" s="280"/>
      <c r="AL424" s="280"/>
      <c r="AM424" s="280"/>
      <c r="AN424" s="280"/>
      <c r="AO424" s="280"/>
      <c r="AP424" s="280"/>
      <c r="AQ424" s="280"/>
      <c r="AR424" s="280"/>
      <c r="AS424" s="280"/>
      <c r="AT424" s="280"/>
      <c r="AU424" s="280"/>
      <c r="AV424" s="280"/>
      <c r="AW424" s="280"/>
      <c r="AX424" s="280"/>
      <c r="AY424" s="280"/>
      <c r="AZ424" s="280"/>
      <c r="BA424" s="280"/>
      <c r="BB424" s="280"/>
      <c r="BC424" s="280"/>
      <c r="BD424" s="280"/>
      <c r="BE424" s="280"/>
      <c r="BF424" s="280"/>
      <c r="BG424" s="280"/>
      <c r="BH424" s="280"/>
      <c r="BI424" s="280"/>
      <c r="BJ424" s="280"/>
      <c r="BK424" s="280"/>
      <c r="BL424" s="280"/>
      <c r="BM424" s="280"/>
      <c r="BN424" s="280"/>
      <c r="BO424" s="280"/>
      <c r="BP424" s="280"/>
      <c r="BQ424" s="280"/>
      <c r="BR424" s="280"/>
      <c r="BS424" s="280"/>
      <c r="BT424" s="280"/>
      <c r="BU424" s="280"/>
      <c r="BV424" s="280"/>
    </row>
    <row r="425" spans="2:74" x14ac:dyDescent="0.2">
      <c r="B425" s="280"/>
      <c r="D425" s="280"/>
      <c r="E425" s="280"/>
      <c r="F425" s="280"/>
      <c r="G425" s="280"/>
      <c r="H425" s="280"/>
      <c r="I425" s="280"/>
      <c r="J425" s="280"/>
      <c r="K425" s="280"/>
      <c r="L425" s="280"/>
      <c r="M425" s="280"/>
      <c r="N425" s="280"/>
      <c r="O425" s="280"/>
      <c r="P425" s="280"/>
      <c r="Q425" s="280"/>
      <c r="R425" s="280"/>
      <c r="S425" s="280"/>
      <c r="T425" s="280"/>
      <c r="U425" s="280"/>
      <c r="V425" s="280"/>
      <c r="W425" s="280"/>
      <c r="X425" s="280"/>
      <c r="Y425" s="280"/>
      <c r="Z425" s="280"/>
      <c r="AA425" s="280"/>
      <c r="AB425" s="280"/>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c r="BV425" s="280"/>
    </row>
    <row r="426" spans="2:74" x14ac:dyDescent="0.2">
      <c r="B426" s="280"/>
      <c r="D426" s="280"/>
      <c r="E426" s="280"/>
      <c r="F426" s="280"/>
      <c r="G426" s="280"/>
      <c r="H426" s="280"/>
      <c r="I426" s="280"/>
      <c r="J426" s="280"/>
      <c r="K426" s="280"/>
      <c r="L426" s="280"/>
      <c r="M426" s="280"/>
      <c r="N426" s="280"/>
      <c r="O426" s="280"/>
      <c r="P426" s="280"/>
      <c r="Q426" s="280"/>
      <c r="R426" s="280"/>
      <c r="S426" s="280"/>
      <c r="T426" s="280"/>
      <c r="U426" s="280"/>
      <c r="V426" s="280"/>
      <c r="W426" s="280"/>
      <c r="X426" s="280"/>
      <c r="Y426" s="280"/>
      <c r="Z426" s="280"/>
      <c r="AA426" s="280"/>
      <c r="AB426" s="280"/>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c r="BV426" s="280"/>
    </row>
    <row r="427" spans="2:74" x14ac:dyDescent="0.2">
      <c r="B427" s="280"/>
      <c r="D427" s="280"/>
      <c r="E427" s="280"/>
      <c r="F427" s="280"/>
      <c r="G427" s="280"/>
      <c r="H427" s="280"/>
      <c r="I427" s="280"/>
      <c r="J427" s="280"/>
      <c r="K427" s="280"/>
      <c r="L427" s="280"/>
      <c r="M427" s="280"/>
      <c r="N427" s="280"/>
      <c r="O427" s="280"/>
      <c r="P427" s="280"/>
      <c r="Q427" s="280"/>
      <c r="R427" s="280"/>
      <c r="S427" s="280"/>
      <c r="T427" s="280"/>
      <c r="U427" s="280"/>
      <c r="V427" s="280"/>
      <c r="W427" s="280"/>
      <c r="X427" s="280"/>
      <c r="Y427" s="280"/>
      <c r="Z427" s="280"/>
      <c r="AA427" s="280"/>
      <c r="AB427" s="280"/>
      <c r="AC427" s="280"/>
      <c r="AD427" s="280"/>
      <c r="AE427" s="280"/>
      <c r="AF427" s="280"/>
      <c r="AG427" s="280"/>
      <c r="AH427" s="280"/>
      <c r="AI427" s="280"/>
      <c r="AJ427" s="280"/>
      <c r="AK427" s="280"/>
      <c r="AL427" s="280"/>
      <c r="AM427" s="280"/>
      <c r="AN427" s="280"/>
      <c r="AO427" s="280"/>
      <c r="AP427" s="280"/>
      <c r="AQ427" s="280"/>
      <c r="AR427" s="280"/>
      <c r="AS427" s="280"/>
      <c r="AT427" s="280"/>
      <c r="AU427" s="280"/>
      <c r="AV427" s="280"/>
      <c r="AW427" s="280"/>
      <c r="AX427" s="280"/>
      <c r="AY427" s="280"/>
      <c r="AZ427" s="280"/>
      <c r="BA427" s="280"/>
      <c r="BB427" s="280"/>
      <c r="BC427" s="280"/>
      <c r="BD427" s="280"/>
      <c r="BE427" s="280"/>
      <c r="BF427" s="280"/>
      <c r="BG427" s="280"/>
      <c r="BH427" s="280"/>
      <c r="BI427" s="280"/>
      <c r="BJ427" s="280"/>
      <c r="BK427" s="280"/>
      <c r="BL427" s="280"/>
      <c r="BM427" s="280"/>
      <c r="BN427" s="280"/>
      <c r="BO427" s="280"/>
      <c r="BP427" s="280"/>
      <c r="BQ427" s="280"/>
      <c r="BR427" s="280"/>
      <c r="BS427" s="280"/>
      <c r="BT427" s="280"/>
      <c r="BU427" s="280"/>
      <c r="BV427" s="280"/>
    </row>
    <row r="428" spans="2:74" x14ac:dyDescent="0.2">
      <c r="B428" s="280"/>
      <c r="D428" s="280"/>
      <c r="E428" s="280"/>
      <c r="F428" s="280"/>
      <c r="G428" s="280"/>
      <c r="H428" s="280"/>
      <c r="I428" s="280"/>
      <c r="J428" s="280"/>
      <c r="K428" s="280"/>
      <c r="L428" s="280"/>
      <c r="M428" s="280"/>
      <c r="N428" s="280"/>
      <c r="O428" s="280"/>
      <c r="P428" s="280"/>
      <c r="Q428" s="280"/>
      <c r="R428" s="280"/>
      <c r="S428" s="280"/>
      <c r="T428" s="280"/>
      <c r="U428" s="280"/>
      <c r="V428" s="280"/>
      <c r="W428" s="280"/>
      <c r="X428" s="280"/>
      <c r="Y428" s="280"/>
      <c r="Z428" s="280"/>
      <c r="AA428" s="280"/>
      <c r="AB428" s="280"/>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c r="BV428" s="280"/>
    </row>
    <row r="429" spans="2:74" x14ac:dyDescent="0.2">
      <c r="B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c r="BV429" s="280"/>
    </row>
    <row r="430" spans="2:74" x14ac:dyDescent="0.2">
      <c r="B430" s="280"/>
      <c r="D430" s="280"/>
      <c r="E430" s="280"/>
      <c r="F430" s="280"/>
      <c r="G430" s="280"/>
      <c r="H430" s="280"/>
      <c r="I430" s="280"/>
      <c r="J430" s="280"/>
      <c r="K430" s="280"/>
      <c r="L430" s="280"/>
      <c r="M430" s="280"/>
      <c r="N430" s="280"/>
      <c r="O430" s="280"/>
      <c r="P430" s="280"/>
      <c r="Q430" s="280"/>
      <c r="R430" s="280"/>
      <c r="S430" s="280"/>
      <c r="T430" s="280"/>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0"/>
      <c r="AY430" s="280"/>
      <c r="AZ430" s="280"/>
      <c r="BA430" s="280"/>
      <c r="BB430" s="280"/>
      <c r="BC430" s="280"/>
      <c r="BD430" s="280"/>
      <c r="BE430" s="280"/>
      <c r="BF430" s="280"/>
      <c r="BG430" s="280"/>
      <c r="BH430" s="280"/>
      <c r="BI430" s="280"/>
      <c r="BJ430" s="280"/>
      <c r="BK430" s="280"/>
      <c r="BL430" s="280"/>
      <c r="BM430" s="280"/>
      <c r="BN430" s="280"/>
      <c r="BO430" s="280"/>
      <c r="BP430" s="280"/>
      <c r="BQ430" s="280"/>
      <c r="BR430" s="280"/>
      <c r="BS430" s="280"/>
      <c r="BT430" s="280"/>
      <c r="BU430" s="280"/>
      <c r="BV430" s="280"/>
    </row>
    <row r="431" spans="2:74" x14ac:dyDescent="0.2">
      <c r="B431" s="280"/>
      <c r="D431" s="280"/>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c r="AH431" s="280"/>
      <c r="AI431" s="280"/>
      <c r="AJ431" s="280"/>
      <c r="AK431" s="280"/>
      <c r="AL431" s="280"/>
      <c r="AM431" s="280"/>
      <c r="AN431" s="280"/>
      <c r="AO431" s="280"/>
      <c r="AP431" s="280"/>
      <c r="AQ431" s="280"/>
      <c r="AR431" s="280"/>
      <c r="AS431" s="280"/>
      <c r="AT431" s="280"/>
      <c r="AU431" s="280"/>
      <c r="AV431" s="280"/>
      <c r="AW431" s="280"/>
      <c r="AX431" s="280"/>
      <c r="AY431" s="280"/>
      <c r="AZ431" s="280"/>
      <c r="BA431" s="280"/>
      <c r="BB431" s="280"/>
      <c r="BC431" s="280"/>
      <c r="BD431" s="280"/>
      <c r="BE431" s="280"/>
      <c r="BF431" s="280"/>
      <c r="BG431" s="280"/>
      <c r="BH431" s="280"/>
      <c r="BI431" s="280"/>
      <c r="BJ431" s="280"/>
      <c r="BK431" s="280"/>
      <c r="BL431" s="280"/>
      <c r="BM431" s="280"/>
      <c r="BN431" s="280"/>
      <c r="BO431" s="280"/>
      <c r="BP431" s="280"/>
      <c r="BQ431" s="280"/>
      <c r="BR431" s="280"/>
      <c r="BS431" s="280"/>
      <c r="BT431" s="280"/>
      <c r="BU431" s="280"/>
      <c r="BV431" s="280"/>
    </row>
    <row r="432" spans="2:74" x14ac:dyDescent="0.2">
      <c r="B432" s="280"/>
      <c r="D432" s="280"/>
      <c r="E432" s="280"/>
      <c r="F432" s="280"/>
      <c r="G432" s="280"/>
      <c r="H432" s="280"/>
      <c r="I432" s="280"/>
      <c r="J432" s="280"/>
      <c r="K432" s="280"/>
      <c r="L432" s="280"/>
      <c r="M432" s="280"/>
      <c r="N432" s="280"/>
      <c r="O432" s="280"/>
      <c r="P432" s="280"/>
      <c r="Q432" s="280"/>
      <c r="R432" s="280"/>
      <c r="S432" s="280"/>
      <c r="T432" s="280"/>
      <c r="U432" s="280"/>
      <c r="V432" s="280"/>
      <c r="W432" s="280"/>
      <c r="X432" s="280"/>
      <c r="Y432" s="280"/>
      <c r="Z432" s="280"/>
      <c r="AA432" s="280"/>
      <c r="AB432" s="280"/>
      <c r="AC432" s="280"/>
      <c r="AD432" s="280"/>
      <c r="AE432" s="280"/>
      <c r="AF432" s="280"/>
      <c r="AG432" s="280"/>
      <c r="AH432" s="280"/>
      <c r="AI432" s="280"/>
      <c r="AJ432" s="280"/>
      <c r="AK432" s="280"/>
      <c r="AL432" s="280"/>
      <c r="AM432" s="280"/>
      <c r="AN432" s="280"/>
      <c r="AO432" s="280"/>
      <c r="AP432" s="280"/>
      <c r="AQ432" s="280"/>
      <c r="AR432" s="280"/>
      <c r="AS432" s="280"/>
      <c r="AT432" s="280"/>
      <c r="AU432" s="280"/>
      <c r="AV432" s="280"/>
      <c r="AW432" s="280"/>
      <c r="AX432" s="280"/>
      <c r="AY432" s="280"/>
      <c r="AZ432" s="280"/>
      <c r="BA432" s="280"/>
      <c r="BB432" s="280"/>
      <c r="BC432" s="280"/>
      <c r="BD432" s="280"/>
      <c r="BE432" s="280"/>
      <c r="BF432" s="280"/>
      <c r="BG432" s="280"/>
      <c r="BH432" s="280"/>
      <c r="BI432" s="280"/>
      <c r="BJ432" s="280"/>
      <c r="BK432" s="280"/>
      <c r="BL432" s="280"/>
      <c r="BM432" s="280"/>
      <c r="BN432" s="280"/>
      <c r="BO432" s="280"/>
      <c r="BP432" s="280"/>
      <c r="BQ432" s="280"/>
      <c r="BR432" s="280"/>
      <c r="BS432" s="280"/>
      <c r="BT432" s="280"/>
      <c r="BU432" s="280"/>
      <c r="BV432" s="280"/>
    </row>
    <row r="433" spans="2:74" x14ac:dyDescent="0.2">
      <c r="B433" s="280"/>
      <c r="D433" s="280"/>
      <c r="E433" s="280"/>
      <c r="F433" s="280"/>
      <c r="G433" s="280"/>
      <c r="H433" s="280"/>
      <c r="I433" s="280"/>
      <c r="J433" s="280"/>
      <c r="K433" s="280"/>
      <c r="L433" s="280"/>
      <c r="M433" s="280"/>
      <c r="N433" s="280"/>
      <c r="O433" s="280"/>
      <c r="P433" s="280"/>
      <c r="Q433" s="280"/>
      <c r="R433" s="280"/>
      <c r="S433" s="280"/>
      <c r="T433" s="280"/>
      <c r="U433" s="280"/>
      <c r="V433" s="280"/>
      <c r="W433" s="280"/>
      <c r="X433" s="280"/>
      <c r="Y433" s="280"/>
      <c r="Z433" s="280"/>
      <c r="AA433" s="280"/>
      <c r="AB433" s="280"/>
      <c r="AC433" s="280"/>
      <c r="AD433" s="280"/>
      <c r="AE433" s="280"/>
      <c r="AF433" s="280"/>
      <c r="AG433" s="280"/>
      <c r="AH433" s="280"/>
      <c r="AI433" s="280"/>
      <c r="AJ433" s="280"/>
      <c r="AK433" s="280"/>
      <c r="AL433" s="280"/>
      <c r="AM433" s="280"/>
      <c r="AN433" s="280"/>
      <c r="AO433" s="280"/>
      <c r="AP433" s="280"/>
      <c r="AQ433" s="280"/>
      <c r="AR433" s="280"/>
      <c r="AS433" s="280"/>
      <c r="AT433" s="280"/>
      <c r="AU433" s="280"/>
      <c r="AV433" s="280"/>
      <c r="AW433" s="280"/>
      <c r="AX433" s="280"/>
      <c r="AY433" s="280"/>
      <c r="AZ433" s="280"/>
      <c r="BA433" s="280"/>
      <c r="BB433" s="280"/>
      <c r="BC433" s="280"/>
      <c r="BD433" s="280"/>
      <c r="BE433" s="280"/>
      <c r="BF433" s="280"/>
      <c r="BG433" s="280"/>
      <c r="BH433" s="280"/>
      <c r="BI433" s="280"/>
      <c r="BJ433" s="280"/>
      <c r="BK433" s="280"/>
      <c r="BL433" s="280"/>
      <c r="BM433" s="280"/>
      <c r="BN433" s="280"/>
      <c r="BO433" s="280"/>
      <c r="BP433" s="280"/>
      <c r="BQ433" s="280"/>
      <c r="BR433" s="280"/>
      <c r="BS433" s="280"/>
      <c r="BT433" s="280"/>
      <c r="BU433" s="280"/>
      <c r="BV433" s="280"/>
    </row>
    <row r="434" spans="2:74" x14ac:dyDescent="0.2">
      <c r="B434" s="280"/>
      <c r="D434" s="280"/>
      <c r="E434" s="280"/>
      <c r="F434" s="280"/>
      <c r="G434" s="280"/>
      <c r="H434" s="280"/>
      <c r="I434" s="280"/>
      <c r="J434" s="280"/>
      <c r="K434" s="280"/>
      <c r="L434" s="280"/>
      <c r="M434" s="280"/>
      <c r="N434" s="280"/>
      <c r="O434" s="280"/>
      <c r="P434" s="280"/>
      <c r="Q434" s="280"/>
      <c r="R434" s="280"/>
      <c r="S434" s="280"/>
      <c r="T434" s="280"/>
      <c r="U434" s="280"/>
      <c r="V434" s="280"/>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80"/>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280"/>
      <c r="BP434" s="280"/>
      <c r="BQ434" s="280"/>
      <c r="BR434" s="280"/>
      <c r="BS434" s="280"/>
      <c r="BT434" s="280"/>
      <c r="BU434" s="280"/>
      <c r="BV434" s="280"/>
    </row>
    <row r="435" spans="2:74" x14ac:dyDescent="0.2">
      <c r="B435" s="280"/>
      <c r="D435" s="280"/>
      <c r="E435" s="280"/>
      <c r="F435" s="280"/>
      <c r="G435" s="280"/>
      <c r="H435" s="280"/>
      <c r="I435" s="280"/>
      <c r="J435" s="280"/>
      <c r="K435" s="280"/>
      <c r="L435" s="280"/>
      <c r="M435" s="280"/>
      <c r="N435" s="280"/>
      <c r="O435" s="280"/>
      <c r="P435" s="280"/>
      <c r="Q435" s="280"/>
      <c r="R435" s="280"/>
      <c r="S435" s="280"/>
      <c r="T435" s="280"/>
      <c r="U435" s="280"/>
      <c r="V435" s="280"/>
      <c r="W435" s="280"/>
      <c r="X435" s="280"/>
      <c r="Y435" s="280"/>
      <c r="Z435" s="280"/>
      <c r="AA435" s="280"/>
      <c r="AB435" s="280"/>
      <c r="AC435" s="280"/>
      <c r="AD435" s="280"/>
      <c r="AE435" s="280"/>
      <c r="AF435" s="280"/>
      <c r="AG435" s="280"/>
      <c r="AH435" s="280"/>
      <c r="AI435" s="280"/>
      <c r="AJ435" s="280"/>
      <c r="AK435" s="280"/>
      <c r="AL435" s="280"/>
      <c r="AM435" s="280"/>
      <c r="AN435" s="280"/>
      <c r="AO435" s="280"/>
      <c r="AP435" s="280"/>
      <c r="AQ435" s="280"/>
      <c r="AR435" s="280"/>
      <c r="AS435" s="280"/>
      <c r="AT435" s="280"/>
      <c r="AU435" s="280"/>
      <c r="AV435" s="280"/>
      <c r="AW435" s="280"/>
      <c r="AX435" s="280"/>
      <c r="AY435" s="280"/>
      <c r="AZ435" s="280"/>
      <c r="BA435" s="280"/>
      <c r="BB435" s="280"/>
      <c r="BC435" s="280"/>
      <c r="BD435" s="280"/>
      <c r="BE435" s="280"/>
      <c r="BF435" s="280"/>
      <c r="BG435" s="280"/>
      <c r="BH435" s="280"/>
      <c r="BI435" s="280"/>
      <c r="BJ435" s="280"/>
      <c r="BK435" s="280"/>
      <c r="BL435" s="280"/>
      <c r="BM435" s="280"/>
      <c r="BN435" s="280"/>
      <c r="BO435" s="280"/>
      <c r="BP435" s="280"/>
      <c r="BQ435" s="280"/>
      <c r="BR435" s="280"/>
      <c r="BS435" s="280"/>
      <c r="BT435" s="280"/>
      <c r="BU435" s="280"/>
      <c r="BV435" s="280"/>
    </row>
    <row r="436" spans="2:74" x14ac:dyDescent="0.2">
      <c r="B436" s="280"/>
      <c r="D436" s="280"/>
      <c r="E436" s="280"/>
      <c r="F436" s="280"/>
      <c r="G436" s="280"/>
      <c r="H436" s="280"/>
      <c r="I436" s="280"/>
      <c r="J436" s="280"/>
      <c r="K436" s="280"/>
      <c r="L436" s="280"/>
      <c r="M436" s="280"/>
      <c r="N436" s="280"/>
      <c r="O436" s="280"/>
      <c r="P436" s="280"/>
      <c r="Q436" s="280"/>
      <c r="R436" s="280"/>
      <c r="S436" s="280"/>
      <c r="T436" s="280"/>
      <c r="U436" s="280"/>
      <c r="V436" s="280"/>
      <c r="W436" s="280"/>
      <c r="X436" s="280"/>
      <c r="Y436" s="280"/>
      <c r="Z436" s="280"/>
      <c r="AA436" s="280"/>
      <c r="AB436" s="280"/>
      <c r="AC436" s="280"/>
      <c r="AD436" s="280"/>
      <c r="AE436" s="280"/>
      <c r="AF436" s="280"/>
      <c r="AG436" s="280"/>
      <c r="AH436" s="280"/>
      <c r="AI436" s="280"/>
      <c r="AJ436" s="280"/>
      <c r="AK436" s="280"/>
      <c r="AL436" s="280"/>
      <c r="AM436" s="280"/>
      <c r="AN436" s="280"/>
      <c r="AO436" s="280"/>
      <c r="AP436" s="280"/>
      <c r="AQ436" s="280"/>
      <c r="AR436" s="280"/>
      <c r="AS436" s="280"/>
      <c r="AT436" s="280"/>
      <c r="AU436" s="280"/>
      <c r="AV436" s="280"/>
      <c r="AW436" s="280"/>
      <c r="AX436" s="280"/>
      <c r="AY436" s="280"/>
      <c r="AZ436" s="280"/>
      <c r="BA436" s="280"/>
      <c r="BB436" s="280"/>
      <c r="BC436" s="280"/>
      <c r="BD436" s="280"/>
      <c r="BE436" s="280"/>
      <c r="BF436" s="280"/>
      <c r="BG436" s="280"/>
      <c r="BH436" s="280"/>
      <c r="BI436" s="280"/>
      <c r="BJ436" s="280"/>
      <c r="BK436" s="280"/>
      <c r="BL436" s="280"/>
      <c r="BM436" s="280"/>
      <c r="BN436" s="280"/>
      <c r="BO436" s="280"/>
      <c r="BP436" s="280"/>
      <c r="BQ436" s="280"/>
      <c r="BR436" s="280"/>
      <c r="BS436" s="280"/>
      <c r="BT436" s="280"/>
      <c r="BU436" s="280"/>
      <c r="BV436" s="280"/>
    </row>
    <row r="437" spans="2:74" x14ac:dyDescent="0.2">
      <c r="B437" s="280"/>
      <c r="D437" s="280"/>
      <c r="E437" s="280"/>
      <c r="F437" s="280"/>
      <c r="G437" s="280"/>
      <c r="H437" s="280"/>
      <c r="I437" s="280"/>
      <c r="J437" s="280"/>
      <c r="K437" s="280"/>
      <c r="L437" s="280"/>
      <c r="M437" s="280"/>
      <c r="N437" s="280"/>
      <c r="O437" s="280"/>
      <c r="P437" s="280"/>
      <c r="Q437" s="280"/>
      <c r="R437" s="280"/>
      <c r="S437" s="280"/>
      <c r="T437" s="280"/>
      <c r="U437" s="280"/>
      <c r="V437" s="280"/>
      <c r="W437" s="280"/>
      <c r="X437" s="280"/>
      <c r="Y437" s="280"/>
      <c r="Z437" s="280"/>
      <c r="AA437" s="280"/>
      <c r="AB437" s="280"/>
      <c r="AC437" s="280"/>
      <c r="AD437" s="280"/>
      <c r="AE437" s="280"/>
      <c r="AF437" s="280"/>
      <c r="AG437" s="280"/>
      <c r="AH437" s="280"/>
      <c r="AI437" s="280"/>
      <c r="AJ437" s="280"/>
      <c r="AK437" s="280"/>
      <c r="AL437" s="280"/>
      <c r="AM437" s="280"/>
      <c r="AN437" s="280"/>
      <c r="AO437" s="280"/>
      <c r="AP437" s="280"/>
      <c r="AQ437" s="280"/>
      <c r="AR437" s="280"/>
      <c r="AS437" s="280"/>
      <c r="AT437" s="280"/>
      <c r="AU437" s="280"/>
      <c r="AV437" s="280"/>
      <c r="AW437" s="280"/>
      <c r="AX437" s="280"/>
      <c r="AY437" s="280"/>
      <c r="AZ437" s="280"/>
      <c r="BA437" s="280"/>
      <c r="BB437" s="280"/>
      <c r="BC437" s="280"/>
      <c r="BD437" s="280"/>
      <c r="BE437" s="280"/>
      <c r="BF437" s="280"/>
      <c r="BG437" s="280"/>
      <c r="BH437" s="280"/>
      <c r="BI437" s="280"/>
      <c r="BJ437" s="280"/>
      <c r="BK437" s="280"/>
      <c r="BL437" s="280"/>
      <c r="BM437" s="280"/>
      <c r="BN437" s="280"/>
      <c r="BO437" s="280"/>
      <c r="BP437" s="280"/>
      <c r="BQ437" s="280"/>
      <c r="BR437" s="280"/>
      <c r="BS437" s="280"/>
      <c r="BT437" s="280"/>
      <c r="BU437" s="280"/>
      <c r="BV437" s="280"/>
    </row>
    <row r="438" spans="2:74" x14ac:dyDescent="0.2">
      <c r="B438" s="280"/>
      <c r="D438" s="280"/>
      <c r="E438" s="280"/>
      <c r="F438" s="280"/>
      <c r="G438" s="280"/>
      <c r="H438" s="280"/>
      <c r="I438" s="280"/>
      <c r="J438" s="280"/>
      <c r="K438" s="280"/>
      <c r="L438" s="280"/>
      <c r="M438" s="280"/>
      <c r="N438" s="280"/>
      <c r="O438" s="280"/>
      <c r="P438" s="280"/>
      <c r="Q438" s="280"/>
      <c r="R438" s="280"/>
      <c r="S438" s="280"/>
      <c r="T438" s="280"/>
      <c r="U438" s="280"/>
      <c r="V438" s="280"/>
      <c r="W438" s="280"/>
      <c r="X438" s="280"/>
      <c r="Y438" s="280"/>
      <c r="Z438" s="280"/>
      <c r="AA438" s="280"/>
      <c r="AB438" s="280"/>
      <c r="AC438" s="280"/>
      <c r="AD438" s="280"/>
      <c r="AE438" s="280"/>
      <c r="AF438" s="280"/>
      <c r="AG438" s="280"/>
      <c r="AH438" s="280"/>
      <c r="AI438" s="280"/>
      <c r="AJ438" s="280"/>
      <c r="AK438" s="280"/>
      <c r="AL438" s="280"/>
      <c r="AM438" s="280"/>
      <c r="AN438" s="280"/>
      <c r="AO438" s="280"/>
      <c r="AP438" s="280"/>
      <c r="AQ438" s="280"/>
      <c r="AR438" s="280"/>
      <c r="AS438" s="280"/>
      <c r="AT438" s="280"/>
      <c r="AU438" s="280"/>
      <c r="AV438" s="280"/>
      <c r="AW438" s="280"/>
      <c r="AX438" s="280"/>
      <c r="AY438" s="280"/>
      <c r="AZ438" s="280"/>
      <c r="BA438" s="280"/>
      <c r="BB438" s="280"/>
      <c r="BC438" s="280"/>
      <c r="BD438" s="280"/>
      <c r="BE438" s="280"/>
      <c r="BF438" s="280"/>
      <c r="BG438" s="280"/>
      <c r="BH438" s="280"/>
      <c r="BI438" s="280"/>
      <c r="BJ438" s="280"/>
      <c r="BK438" s="280"/>
      <c r="BL438" s="280"/>
      <c r="BM438" s="280"/>
      <c r="BN438" s="280"/>
      <c r="BO438" s="280"/>
      <c r="BP438" s="280"/>
      <c r="BQ438" s="280"/>
      <c r="BR438" s="280"/>
      <c r="BS438" s="280"/>
      <c r="BT438" s="280"/>
      <c r="BU438" s="280"/>
      <c r="BV438" s="280"/>
    </row>
    <row r="439" spans="2:74" x14ac:dyDescent="0.2">
      <c r="B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280"/>
      <c r="BP439" s="280"/>
      <c r="BQ439" s="280"/>
      <c r="BR439" s="280"/>
      <c r="BS439" s="280"/>
      <c r="BT439" s="280"/>
      <c r="BU439" s="280"/>
      <c r="BV439" s="280"/>
    </row>
    <row r="440" spans="2:74" x14ac:dyDescent="0.2">
      <c r="B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0"/>
      <c r="AL440" s="280"/>
      <c r="AM440" s="280"/>
      <c r="AN440" s="280"/>
      <c r="AO440" s="280"/>
      <c r="AP440" s="280"/>
      <c r="AQ440" s="280"/>
      <c r="AR440" s="280"/>
      <c r="AS440" s="280"/>
      <c r="AT440" s="280"/>
      <c r="AU440" s="280"/>
      <c r="AV440" s="280"/>
      <c r="AW440" s="280"/>
      <c r="AX440" s="280"/>
      <c r="AY440" s="280"/>
      <c r="AZ440" s="280"/>
      <c r="BA440" s="280"/>
      <c r="BB440" s="280"/>
      <c r="BC440" s="280"/>
      <c r="BD440" s="280"/>
      <c r="BE440" s="280"/>
      <c r="BF440" s="280"/>
      <c r="BG440" s="280"/>
      <c r="BH440" s="280"/>
      <c r="BI440" s="280"/>
      <c r="BJ440" s="280"/>
      <c r="BK440" s="280"/>
      <c r="BL440" s="280"/>
      <c r="BM440" s="280"/>
      <c r="BN440" s="280"/>
      <c r="BO440" s="280"/>
      <c r="BP440" s="280"/>
      <c r="BQ440" s="280"/>
      <c r="BR440" s="280"/>
      <c r="BS440" s="280"/>
      <c r="BT440" s="280"/>
      <c r="BU440" s="280"/>
      <c r="BV440" s="280"/>
    </row>
    <row r="441" spans="2:74" x14ac:dyDescent="0.2">
      <c r="B441" s="280"/>
      <c r="D441" s="280"/>
      <c r="E441" s="280"/>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280"/>
      <c r="BP441" s="280"/>
      <c r="BQ441" s="280"/>
      <c r="BR441" s="280"/>
      <c r="BS441" s="280"/>
      <c r="BT441" s="280"/>
      <c r="BU441" s="280"/>
      <c r="BV441" s="280"/>
    </row>
    <row r="442" spans="2:74" x14ac:dyDescent="0.2">
      <c r="B442" s="280"/>
      <c r="D442" s="280"/>
      <c r="E442" s="280"/>
      <c r="F442" s="280"/>
      <c r="G442" s="280"/>
      <c r="H442" s="280"/>
      <c r="I442" s="280"/>
      <c r="J442" s="280"/>
      <c r="K442" s="280"/>
      <c r="L442" s="280"/>
      <c r="M442" s="280"/>
      <c r="N442" s="280"/>
      <c r="O442" s="280"/>
      <c r="P442" s="280"/>
      <c r="Q442" s="280"/>
      <c r="R442" s="280"/>
      <c r="S442" s="280"/>
      <c r="T442" s="280"/>
      <c r="U442" s="280"/>
      <c r="V442" s="280"/>
      <c r="W442" s="280"/>
      <c r="X442" s="280"/>
      <c r="Y442" s="280"/>
      <c r="Z442" s="280"/>
      <c r="AA442" s="280"/>
      <c r="AB442" s="280"/>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280"/>
      <c r="BP442" s="280"/>
      <c r="BQ442" s="280"/>
      <c r="BR442" s="280"/>
      <c r="BS442" s="280"/>
      <c r="BT442" s="280"/>
      <c r="BU442" s="280"/>
      <c r="BV442" s="280"/>
    </row>
    <row r="443" spans="2:74" x14ac:dyDescent="0.2">
      <c r="B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280"/>
      <c r="BP443" s="280"/>
      <c r="BQ443" s="280"/>
      <c r="BR443" s="280"/>
      <c r="BS443" s="280"/>
      <c r="BT443" s="280"/>
      <c r="BU443" s="280"/>
      <c r="BV443" s="280"/>
    </row>
    <row r="444" spans="2:74" x14ac:dyDescent="0.2">
      <c r="B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c r="AH444" s="280"/>
      <c r="AI444" s="280"/>
      <c r="AJ444" s="280"/>
      <c r="AK444" s="280"/>
      <c r="AL444" s="280"/>
      <c r="AM444" s="280"/>
      <c r="AN444" s="280"/>
      <c r="AO444" s="280"/>
      <c r="AP444" s="280"/>
      <c r="AQ444" s="280"/>
      <c r="AR444" s="280"/>
      <c r="AS444" s="280"/>
      <c r="AT444" s="280"/>
      <c r="AU444" s="280"/>
      <c r="AV444" s="280"/>
      <c r="AW444" s="280"/>
      <c r="AX444" s="280"/>
      <c r="AY444" s="280"/>
      <c r="AZ444" s="280"/>
      <c r="BA444" s="280"/>
      <c r="BB444" s="280"/>
      <c r="BC444" s="280"/>
      <c r="BD444" s="280"/>
      <c r="BE444" s="280"/>
      <c r="BF444" s="280"/>
      <c r="BG444" s="280"/>
      <c r="BH444" s="280"/>
      <c r="BI444" s="280"/>
      <c r="BJ444" s="280"/>
      <c r="BK444" s="280"/>
      <c r="BL444" s="280"/>
      <c r="BM444" s="280"/>
      <c r="BN444" s="280"/>
      <c r="BO444" s="280"/>
      <c r="BP444" s="280"/>
      <c r="BQ444" s="280"/>
      <c r="BR444" s="280"/>
      <c r="BS444" s="280"/>
      <c r="BT444" s="280"/>
      <c r="BU444" s="280"/>
      <c r="BV444" s="280"/>
    </row>
    <row r="445" spans="2:74" x14ac:dyDescent="0.2">
      <c r="B445" s="280"/>
      <c r="D445" s="280"/>
      <c r="E445" s="280"/>
      <c r="F445" s="280"/>
      <c r="G445" s="280"/>
      <c r="H445" s="280"/>
      <c r="I445" s="280"/>
      <c r="J445" s="280"/>
      <c r="K445" s="280"/>
      <c r="L445" s="280"/>
      <c r="M445" s="280"/>
      <c r="N445" s="280"/>
      <c r="O445" s="280"/>
      <c r="P445" s="280"/>
      <c r="Q445" s="280"/>
      <c r="R445" s="280"/>
      <c r="S445" s="280"/>
      <c r="T445" s="280"/>
      <c r="U445" s="280"/>
      <c r="V445" s="280"/>
      <c r="W445" s="280"/>
      <c r="X445" s="280"/>
      <c r="Y445" s="280"/>
      <c r="Z445" s="280"/>
      <c r="AA445" s="280"/>
      <c r="AB445" s="280"/>
      <c r="AC445" s="280"/>
      <c r="AD445" s="280"/>
      <c r="AE445" s="280"/>
      <c r="AF445" s="280"/>
      <c r="AG445" s="280"/>
      <c r="AH445" s="280"/>
      <c r="AI445" s="280"/>
      <c r="AJ445" s="280"/>
      <c r="AK445" s="280"/>
      <c r="AL445" s="280"/>
      <c r="AM445" s="280"/>
      <c r="AN445" s="280"/>
      <c r="AO445" s="280"/>
      <c r="AP445" s="280"/>
      <c r="AQ445" s="280"/>
      <c r="AR445" s="280"/>
      <c r="AS445" s="280"/>
      <c r="AT445" s="280"/>
      <c r="AU445" s="280"/>
      <c r="AV445" s="280"/>
      <c r="AW445" s="280"/>
      <c r="AX445" s="280"/>
      <c r="AY445" s="280"/>
      <c r="AZ445" s="280"/>
      <c r="BA445" s="280"/>
      <c r="BB445" s="280"/>
      <c r="BC445" s="280"/>
      <c r="BD445" s="280"/>
      <c r="BE445" s="280"/>
      <c r="BF445" s="280"/>
      <c r="BG445" s="280"/>
      <c r="BH445" s="280"/>
      <c r="BI445" s="280"/>
      <c r="BJ445" s="280"/>
      <c r="BK445" s="280"/>
      <c r="BL445" s="280"/>
      <c r="BM445" s="280"/>
      <c r="BN445" s="280"/>
      <c r="BO445" s="280"/>
      <c r="BP445" s="280"/>
      <c r="BQ445" s="280"/>
      <c r="BR445" s="280"/>
      <c r="BS445" s="280"/>
      <c r="BT445" s="280"/>
      <c r="BU445" s="280"/>
      <c r="BV445" s="280"/>
    </row>
    <row r="446" spans="2:74" x14ac:dyDescent="0.2">
      <c r="B446" s="280"/>
      <c r="D446" s="280"/>
      <c r="E446" s="280"/>
      <c r="F446" s="280"/>
      <c r="G446" s="280"/>
      <c r="H446" s="280"/>
      <c r="I446" s="280"/>
      <c r="J446" s="280"/>
      <c r="K446" s="280"/>
      <c r="L446" s="280"/>
      <c r="M446" s="280"/>
      <c r="N446" s="280"/>
      <c r="O446" s="280"/>
      <c r="P446" s="280"/>
      <c r="Q446" s="280"/>
      <c r="R446" s="280"/>
      <c r="S446" s="280"/>
      <c r="T446" s="280"/>
      <c r="U446" s="280"/>
      <c r="V446" s="280"/>
      <c r="W446" s="280"/>
      <c r="X446" s="280"/>
      <c r="Y446" s="280"/>
      <c r="Z446" s="280"/>
      <c r="AA446" s="280"/>
      <c r="AB446" s="280"/>
      <c r="AC446" s="280"/>
      <c r="AD446" s="280"/>
      <c r="AE446" s="280"/>
      <c r="AF446" s="280"/>
      <c r="AG446" s="280"/>
      <c r="AH446" s="280"/>
      <c r="AI446" s="280"/>
      <c r="AJ446" s="280"/>
      <c r="AK446" s="280"/>
      <c r="AL446" s="280"/>
      <c r="AM446" s="280"/>
      <c r="AN446" s="280"/>
      <c r="AO446" s="280"/>
      <c r="AP446" s="280"/>
      <c r="AQ446" s="280"/>
      <c r="AR446" s="280"/>
      <c r="AS446" s="280"/>
      <c r="AT446" s="280"/>
      <c r="AU446" s="280"/>
      <c r="AV446" s="280"/>
      <c r="AW446" s="280"/>
      <c r="AX446" s="280"/>
      <c r="AY446" s="280"/>
      <c r="AZ446" s="280"/>
      <c r="BA446" s="280"/>
      <c r="BB446" s="280"/>
      <c r="BC446" s="280"/>
      <c r="BD446" s="280"/>
      <c r="BE446" s="280"/>
      <c r="BF446" s="280"/>
      <c r="BG446" s="280"/>
      <c r="BH446" s="280"/>
      <c r="BI446" s="280"/>
      <c r="BJ446" s="280"/>
      <c r="BK446" s="280"/>
      <c r="BL446" s="280"/>
      <c r="BM446" s="280"/>
      <c r="BN446" s="280"/>
      <c r="BO446" s="280"/>
      <c r="BP446" s="280"/>
      <c r="BQ446" s="280"/>
      <c r="BR446" s="280"/>
      <c r="BS446" s="280"/>
      <c r="BT446" s="280"/>
      <c r="BU446" s="280"/>
      <c r="BV446" s="280"/>
    </row>
    <row r="447" spans="2:74" x14ac:dyDescent="0.2">
      <c r="B447" s="280"/>
      <c r="D447" s="280"/>
      <c r="E447" s="280"/>
      <c r="F447" s="280"/>
      <c r="G447" s="280"/>
      <c r="H447" s="280"/>
      <c r="I447" s="280"/>
      <c r="J447" s="280"/>
      <c r="K447" s="280"/>
      <c r="L447" s="280"/>
      <c r="M447" s="280"/>
      <c r="N447" s="280"/>
      <c r="O447" s="280"/>
      <c r="P447" s="280"/>
      <c r="Q447" s="280"/>
      <c r="R447" s="280"/>
      <c r="S447" s="280"/>
      <c r="T447" s="280"/>
      <c r="U447" s="280"/>
      <c r="V447" s="280"/>
      <c r="W447" s="280"/>
      <c r="X447" s="280"/>
      <c r="Y447" s="280"/>
      <c r="Z447" s="280"/>
      <c r="AA447" s="280"/>
      <c r="AB447" s="280"/>
      <c r="AC447" s="280"/>
      <c r="AD447" s="280"/>
      <c r="AE447" s="280"/>
      <c r="AF447" s="280"/>
      <c r="AG447" s="280"/>
      <c r="AH447" s="280"/>
      <c r="AI447" s="280"/>
      <c r="AJ447" s="280"/>
      <c r="AK447" s="280"/>
      <c r="AL447" s="280"/>
      <c r="AM447" s="280"/>
      <c r="AN447" s="280"/>
      <c r="AO447" s="280"/>
      <c r="AP447" s="280"/>
      <c r="AQ447" s="280"/>
      <c r="AR447" s="280"/>
      <c r="AS447" s="280"/>
      <c r="AT447" s="280"/>
      <c r="AU447" s="280"/>
      <c r="AV447" s="280"/>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row>
    <row r="448" spans="2:74" x14ac:dyDescent="0.2">
      <c r="B448" s="280"/>
      <c r="D448" s="280"/>
      <c r="E448" s="280"/>
      <c r="F448" s="280"/>
      <c r="G448" s="280"/>
      <c r="H448" s="280"/>
      <c r="I448" s="280"/>
      <c r="J448" s="280"/>
      <c r="K448" s="280"/>
      <c r="L448" s="280"/>
      <c r="M448" s="280"/>
      <c r="N448" s="280"/>
      <c r="O448" s="280"/>
      <c r="P448" s="280"/>
      <c r="Q448" s="280"/>
      <c r="R448" s="280"/>
      <c r="S448" s="280"/>
      <c r="T448" s="280"/>
      <c r="U448" s="280"/>
      <c r="V448" s="280"/>
      <c r="W448" s="280"/>
      <c r="X448" s="280"/>
      <c r="Y448" s="280"/>
      <c r="Z448" s="280"/>
      <c r="AA448" s="280"/>
      <c r="AB448" s="280"/>
      <c r="AC448" s="280"/>
      <c r="AD448" s="280"/>
      <c r="AE448" s="280"/>
      <c r="AF448" s="280"/>
      <c r="AG448" s="280"/>
      <c r="AH448" s="280"/>
      <c r="AI448" s="280"/>
      <c r="AJ448" s="280"/>
      <c r="AK448" s="280"/>
      <c r="AL448" s="280"/>
      <c r="AM448" s="280"/>
      <c r="AN448" s="280"/>
      <c r="AO448" s="280"/>
      <c r="AP448" s="280"/>
      <c r="AQ448" s="280"/>
      <c r="AR448" s="280"/>
      <c r="AS448" s="280"/>
      <c r="AT448" s="280"/>
      <c r="AU448" s="280"/>
      <c r="AV448" s="280"/>
      <c r="AW448" s="280"/>
      <c r="AX448" s="280"/>
      <c r="AY448" s="280"/>
      <c r="AZ448" s="280"/>
      <c r="BA448" s="280"/>
      <c r="BB448" s="280"/>
      <c r="BC448" s="280"/>
      <c r="BD448" s="280"/>
      <c r="BE448" s="280"/>
      <c r="BF448" s="280"/>
      <c r="BG448" s="280"/>
      <c r="BH448" s="280"/>
      <c r="BI448" s="280"/>
      <c r="BJ448" s="280"/>
      <c r="BK448" s="280"/>
      <c r="BL448" s="280"/>
      <c r="BM448" s="280"/>
      <c r="BN448" s="280"/>
      <c r="BO448" s="280"/>
      <c r="BP448" s="280"/>
      <c r="BQ448" s="280"/>
      <c r="BR448" s="280"/>
      <c r="BS448" s="280"/>
      <c r="BT448" s="280"/>
      <c r="BU448" s="280"/>
      <c r="BV448" s="280"/>
    </row>
    <row r="449" spans="2:74" x14ac:dyDescent="0.2">
      <c r="B449" s="280"/>
      <c r="D449" s="280"/>
      <c r="E449" s="280"/>
      <c r="F449" s="280"/>
      <c r="G449" s="280"/>
      <c r="H449" s="280"/>
      <c r="I449" s="280"/>
      <c r="J449" s="280"/>
      <c r="K449" s="280"/>
      <c r="L449" s="280"/>
      <c r="M449" s="280"/>
      <c r="N449" s="280"/>
      <c r="O449" s="280"/>
      <c r="P449" s="280"/>
      <c r="Q449" s="280"/>
      <c r="R449" s="280"/>
      <c r="S449" s="280"/>
      <c r="T449" s="280"/>
      <c r="U449" s="280"/>
      <c r="V449" s="280"/>
      <c r="W449" s="280"/>
      <c r="X449" s="280"/>
      <c r="Y449" s="280"/>
      <c r="Z449" s="280"/>
      <c r="AA449" s="280"/>
      <c r="AB449" s="280"/>
      <c r="AC449" s="280"/>
      <c r="AD449" s="280"/>
      <c r="AE449" s="280"/>
      <c r="AF449" s="280"/>
      <c r="AG449" s="280"/>
      <c r="AH449" s="280"/>
      <c r="AI449" s="280"/>
      <c r="AJ449" s="280"/>
      <c r="AK449" s="280"/>
      <c r="AL449" s="280"/>
      <c r="AM449" s="280"/>
      <c r="AN449" s="280"/>
      <c r="AO449" s="280"/>
      <c r="AP449" s="280"/>
      <c r="AQ449" s="280"/>
      <c r="AR449" s="280"/>
      <c r="AS449" s="280"/>
      <c r="AT449" s="280"/>
      <c r="AU449" s="280"/>
      <c r="AV449" s="280"/>
      <c r="AW449" s="280"/>
      <c r="AX449" s="280"/>
      <c r="AY449" s="280"/>
      <c r="AZ449" s="280"/>
      <c r="BA449" s="280"/>
      <c r="BB449" s="280"/>
      <c r="BC449" s="280"/>
      <c r="BD449" s="280"/>
      <c r="BE449" s="280"/>
      <c r="BF449" s="280"/>
      <c r="BG449" s="280"/>
      <c r="BH449" s="280"/>
      <c r="BI449" s="280"/>
      <c r="BJ449" s="280"/>
      <c r="BK449" s="280"/>
      <c r="BL449" s="280"/>
      <c r="BM449" s="280"/>
      <c r="BN449" s="280"/>
      <c r="BO449" s="280"/>
      <c r="BP449" s="280"/>
      <c r="BQ449" s="280"/>
      <c r="BR449" s="280"/>
      <c r="BS449" s="280"/>
      <c r="BT449" s="280"/>
      <c r="BU449" s="280"/>
      <c r="BV449" s="280"/>
    </row>
    <row r="450" spans="2:74" x14ac:dyDescent="0.2">
      <c r="B450" s="280"/>
      <c r="D450" s="280"/>
      <c r="E450" s="280"/>
      <c r="F450" s="280"/>
      <c r="G450" s="280"/>
      <c r="H450" s="280"/>
      <c r="I450" s="280"/>
      <c r="J450" s="280"/>
      <c r="K450" s="280"/>
      <c r="L450" s="280"/>
      <c r="M450" s="280"/>
      <c r="N450" s="280"/>
      <c r="O450" s="280"/>
      <c r="P450" s="280"/>
      <c r="Q450" s="280"/>
      <c r="R450" s="280"/>
      <c r="S450" s="280"/>
      <c r="T450" s="280"/>
      <c r="U450" s="280"/>
      <c r="V450" s="280"/>
      <c r="W450" s="280"/>
      <c r="X450" s="280"/>
      <c r="Y450" s="280"/>
      <c r="Z450" s="280"/>
      <c r="AA450" s="280"/>
      <c r="AB450" s="280"/>
      <c r="AC450" s="280"/>
      <c r="AD450" s="280"/>
      <c r="AE450" s="280"/>
      <c r="AF450" s="280"/>
      <c r="AG450" s="280"/>
      <c r="AH450" s="280"/>
      <c r="AI450" s="280"/>
      <c r="AJ450" s="280"/>
      <c r="AK450" s="280"/>
      <c r="AL450" s="280"/>
      <c r="AM450" s="280"/>
      <c r="AN450" s="280"/>
      <c r="AO450" s="280"/>
      <c r="AP450" s="280"/>
      <c r="AQ450" s="280"/>
      <c r="AR450" s="280"/>
      <c r="AS450" s="280"/>
      <c r="AT450" s="280"/>
      <c r="AU450" s="280"/>
      <c r="AV450" s="280"/>
      <c r="AW450" s="280"/>
      <c r="AX450" s="280"/>
      <c r="AY450" s="280"/>
      <c r="AZ450" s="280"/>
      <c r="BA450" s="280"/>
      <c r="BB450" s="280"/>
      <c r="BC450" s="280"/>
      <c r="BD450" s="280"/>
      <c r="BE450" s="280"/>
      <c r="BF450" s="280"/>
      <c r="BG450" s="280"/>
      <c r="BH450" s="280"/>
      <c r="BI450" s="280"/>
      <c r="BJ450" s="280"/>
      <c r="BK450" s="280"/>
      <c r="BL450" s="280"/>
      <c r="BM450" s="280"/>
      <c r="BN450" s="280"/>
      <c r="BO450" s="280"/>
      <c r="BP450" s="280"/>
      <c r="BQ450" s="280"/>
      <c r="BR450" s="280"/>
      <c r="BS450" s="280"/>
      <c r="BT450" s="280"/>
      <c r="BU450" s="280"/>
      <c r="BV450" s="280"/>
    </row>
    <row r="451" spans="2:74" x14ac:dyDescent="0.2">
      <c r="B451" s="280"/>
      <c r="D451" s="280"/>
      <c r="E451" s="280"/>
      <c r="F451" s="280"/>
      <c r="G451" s="280"/>
      <c r="H451" s="280"/>
      <c r="I451" s="280"/>
      <c r="J451" s="280"/>
      <c r="K451" s="280"/>
      <c r="L451" s="280"/>
      <c r="M451" s="280"/>
      <c r="N451" s="280"/>
      <c r="O451" s="280"/>
      <c r="P451" s="280"/>
      <c r="Q451" s="280"/>
      <c r="R451" s="280"/>
      <c r="S451" s="280"/>
      <c r="T451" s="280"/>
      <c r="U451" s="280"/>
      <c r="V451" s="280"/>
      <c r="W451" s="280"/>
      <c r="X451" s="280"/>
      <c r="Y451" s="280"/>
      <c r="Z451" s="280"/>
      <c r="AA451" s="280"/>
      <c r="AB451" s="280"/>
      <c r="AC451" s="280"/>
      <c r="AD451" s="280"/>
      <c r="AE451" s="280"/>
      <c r="AF451" s="280"/>
      <c r="AG451" s="280"/>
      <c r="AH451" s="280"/>
      <c r="AI451" s="280"/>
      <c r="AJ451" s="280"/>
      <c r="AK451" s="280"/>
      <c r="AL451" s="280"/>
      <c r="AM451" s="280"/>
      <c r="AN451" s="280"/>
      <c r="AO451" s="280"/>
      <c r="AP451" s="280"/>
      <c r="AQ451" s="280"/>
      <c r="AR451" s="280"/>
      <c r="AS451" s="280"/>
      <c r="AT451" s="280"/>
      <c r="AU451" s="280"/>
      <c r="AV451" s="280"/>
      <c r="AW451" s="280"/>
      <c r="AX451" s="280"/>
      <c r="AY451" s="280"/>
      <c r="AZ451" s="280"/>
      <c r="BA451" s="280"/>
      <c r="BB451" s="280"/>
      <c r="BC451" s="280"/>
      <c r="BD451" s="280"/>
      <c r="BE451" s="280"/>
      <c r="BF451" s="280"/>
      <c r="BG451" s="280"/>
      <c r="BH451" s="280"/>
      <c r="BI451" s="280"/>
      <c r="BJ451" s="280"/>
      <c r="BK451" s="280"/>
      <c r="BL451" s="280"/>
      <c r="BM451" s="280"/>
      <c r="BN451" s="280"/>
      <c r="BO451" s="280"/>
      <c r="BP451" s="280"/>
      <c r="BQ451" s="280"/>
      <c r="BR451" s="280"/>
      <c r="BS451" s="280"/>
      <c r="BT451" s="280"/>
      <c r="BU451" s="280"/>
      <c r="BV451" s="280"/>
    </row>
    <row r="452" spans="2:74" x14ac:dyDescent="0.2">
      <c r="B452" s="280"/>
      <c r="D452" s="280"/>
      <c r="E452" s="280"/>
      <c r="F452" s="280"/>
      <c r="G452" s="280"/>
      <c r="H452" s="280"/>
      <c r="I452" s="280"/>
      <c r="J452" s="280"/>
      <c r="K452" s="280"/>
      <c r="L452" s="280"/>
      <c r="M452" s="280"/>
      <c r="N452" s="280"/>
      <c r="O452" s="280"/>
      <c r="P452" s="280"/>
      <c r="Q452" s="280"/>
      <c r="R452" s="280"/>
      <c r="S452" s="280"/>
      <c r="T452" s="280"/>
      <c r="U452" s="280"/>
      <c r="V452" s="280"/>
      <c r="W452" s="280"/>
      <c r="X452" s="280"/>
      <c r="Y452" s="280"/>
      <c r="Z452" s="280"/>
      <c r="AA452" s="280"/>
      <c r="AB452" s="280"/>
      <c r="AC452" s="280"/>
      <c r="AD452" s="280"/>
      <c r="AE452" s="280"/>
      <c r="AF452" s="280"/>
      <c r="AG452" s="280"/>
      <c r="AH452" s="280"/>
      <c r="AI452" s="280"/>
      <c r="AJ452" s="280"/>
      <c r="AK452" s="280"/>
      <c r="AL452" s="280"/>
      <c r="AM452" s="280"/>
      <c r="AN452" s="280"/>
      <c r="AO452" s="280"/>
      <c r="AP452" s="280"/>
      <c r="AQ452" s="280"/>
      <c r="AR452" s="280"/>
      <c r="AS452" s="280"/>
      <c r="AT452" s="280"/>
      <c r="AU452" s="280"/>
      <c r="AV452" s="280"/>
      <c r="AW452" s="280"/>
      <c r="AX452" s="280"/>
      <c r="AY452" s="280"/>
      <c r="AZ452" s="280"/>
      <c r="BA452" s="280"/>
      <c r="BB452" s="280"/>
      <c r="BC452" s="280"/>
      <c r="BD452" s="280"/>
      <c r="BE452" s="280"/>
      <c r="BF452" s="280"/>
      <c r="BG452" s="280"/>
      <c r="BH452" s="280"/>
      <c r="BI452" s="280"/>
      <c r="BJ452" s="280"/>
      <c r="BK452" s="280"/>
      <c r="BL452" s="280"/>
      <c r="BM452" s="280"/>
      <c r="BN452" s="280"/>
      <c r="BO452" s="280"/>
      <c r="BP452" s="280"/>
      <c r="BQ452" s="280"/>
      <c r="BR452" s="280"/>
      <c r="BS452" s="280"/>
      <c r="BT452" s="280"/>
      <c r="BU452" s="280"/>
      <c r="BV452" s="280"/>
    </row>
    <row r="453" spans="2:74" x14ac:dyDescent="0.2">
      <c r="B453" s="280"/>
      <c r="D453" s="280"/>
      <c r="E453" s="280"/>
      <c r="F453" s="280"/>
      <c r="G453" s="280"/>
      <c r="H453" s="280"/>
      <c r="I453" s="280"/>
      <c r="J453" s="280"/>
      <c r="K453" s="280"/>
      <c r="L453" s="280"/>
      <c r="M453" s="280"/>
      <c r="N453" s="280"/>
      <c r="O453" s="280"/>
      <c r="P453" s="280"/>
      <c r="Q453" s="280"/>
      <c r="R453" s="280"/>
      <c r="S453" s="280"/>
      <c r="T453" s="280"/>
      <c r="U453" s="280"/>
      <c r="V453" s="280"/>
      <c r="W453" s="280"/>
      <c r="X453" s="280"/>
      <c r="Y453" s="280"/>
      <c r="Z453" s="280"/>
      <c r="AA453" s="280"/>
      <c r="AB453" s="280"/>
      <c r="AC453" s="280"/>
      <c r="AD453" s="280"/>
      <c r="AE453" s="280"/>
      <c r="AF453" s="280"/>
      <c r="AG453" s="280"/>
      <c r="AH453" s="280"/>
      <c r="AI453" s="280"/>
      <c r="AJ453" s="280"/>
      <c r="AK453" s="280"/>
      <c r="AL453" s="280"/>
      <c r="AM453" s="280"/>
      <c r="AN453" s="280"/>
      <c r="AO453" s="280"/>
      <c r="AP453" s="280"/>
      <c r="AQ453" s="280"/>
      <c r="AR453" s="280"/>
      <c r="AS453" s="280"/>
      <c r="AT453" s="280"/>
      <c r="AU453" s="280"/>
      <c r="AV453" s="280"/>
      <c r="AW453" s="280"/>
      <c r="AX453" s="280"/>
      <c r="AY453" s="280"/>
      <c r="AZ453" s="280"/>
      <c r="BA453" s="280"/>
      <c r="BB453" s="280"/>
      <c r="BC453" s="280"/>
      <c r="BD453" s="280"/>
      <c r="BE453" s="280"/>
      <c r="BF453" s="280"/>
      <c r="BG453" s="280"/>
      <c r="BH453" s="280"/>
      <c r="BI453" s="280"/>
      <c r="BJ453" s="280"/>
      <c r="BK453" s="280"/>
      <c r="BL453" s="280"/>
      <c r="BM453" s="280"/>
      <c r="BN453" s="280"/>
      <c r="BO453" s="280"/>
      <c r="BP453" s="280"/>
      <c r="BQ453" s="280"/>
      <c r="BR453" s="280"/>
      <c r="BS453" s="280"/>
      <c r="BT453" s="280"/>
      <c r="BU453" s="280"/>
      <c r="BV453" s="280"/>
    </row>
    <row r="454" spans="2:74" x14ac:dyDescent="0.2">
      <c r="B454" s="280"/>
      <c r="D454" s="280"/>
      <c r="E454" s="280"/>
      <c r="F454" s="280"/>
      <c r="G454" s="280"/>
      <c r="H454" s="280"/>
      <c r="I454" s="280"/>
      <c r="J454" s="280"/>
      <c r="K454" s="280"/>
      <c r="L454" s="280"/>
      <c r="M454" s="280"/>
      <c r="N454" s="280"/>
      <c r="O454" s="280"/>
      <c r="P454" s="280"/>
      <c r="Q454" s="280"/>
      <c r="R454" s="280"/>
      <c r="S454" s="280"/>
      <c r="T454" s="280"/>
      <c r="U454" s="280"/>
      <c r="V454" s="280"/>
      <c r="W454" s="280"/>
      <c r="X454" s="280"/>
      <c r="Y454" s="280"/>
      <c r="Z454" s="280"/>
      <c r="AA454" s="280"/>
      <c r="AB454" s="280"/>
      <c r="AC454" s="280"/>
      <c r="AD454" s="280"/>
      <c r="AE454" s="280"/>
      <c r="AF454" s="280"/>
      <c r="AG454" s="280"/>
      <c r="AH454" s="280"/>
      <c r="AI454" s="280"/>
      <c r="AJ454" s="280"/>
      <c r="AK454" s="280"/>
      <c r="AL454" s="280"/>
      <c r="AM454" s="280"/>
      <c r="AN454" s="280"/>
      <c r="AO454" s="280"/>
      <c r="AP454" s="280"/>
      <c r="AQ454" s="280"/>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c r="BL454" s="280"/>
      <c r="BM454" s="280"/>
      <c r="BN454" s="280"/>
      <c r="BO454" s="280"/>
      <c r="BP454" s="280"/>
      <c r="BQ454" s="280"/>
      <c r="BR454" s="280"/>
      <c r="BS454" s="280"/>
      <c r="BT454" s="280"/>
      <c r="BU454" s="280"/>
      <c r="BV454" s="280"/>
    </row>
    <row r="455" spans="2:74" x14ac:dyDescent="0.2">
      <c r="B455" s="280"/>
      <c r="D455" s="280"/>
      <c r="E455" s="280"/>
      <c r="F455" s="280"/>
      <c r="G455" s="280"/>
      <c r="H455" s="280"/>
      <c r="I455" s="280"/>
      <c r="J455" s="280"/>
      <c r="K455" s="280"/>
      <c r="L455" s="280"/>
      <c r="M455" s="280"/>
      <c r="N455" s="280"/>
      <c r="O455" s="280"/>
      <c r="P455" s="280"/>
      <c r="Q455" s="280"/>
      <c r="R455" s="280"/>
      <c r="S455" s="280"/>
      <c r="T455" s="280"/>
      <c r="U455" s="280"/>
      <c r="V455" s="280"/>
      <c r="W455" s="280"/>
      <c r="X455" s="280"/>
      <c r="Y455" s="280"/>
      <c r="Z455" s="280"/>
      <c r="AA455" s="280"/>
      <c r="AB455" s="280"/>
      <c r="AC455" s="280"/>
      <c r="AD455" s="280"/>
      <c r="AE455" s="280"/>
      <c r="AF455" s="280"/>
      <c r="AG455" s="280"/>
      <c r="AH455" s="280"/>
      <c r="AI455" s="280"/>
      <c r="AJ455" s="280"/>
      <c r="AK455" s="280"/>
      <c r="AL455" s="280"/>
      <c r="AM455" s="280"/>
      <c r="AN455" s="280"/>
      <c r="AO455" s="280"/>
      <c r="AP455" s="280"/>
      <c r="AQ455" s="280"/>
      <c r="AR455" s="280"/>
      <c r="AS455" s="280"/>
      <c r="AT455" s="280"/>
      <c r="AU455" s="280"/>
      <c r="AV455" s="280"/>
      <c r="AW455" s="280"/>
      <c r="AX455" s="280"/>
      <c r="AY455" s="280"/>
      <c r="AZ455" s="280"/>
      <c r="BA455" s="280"/>
      <c r="BB455" s="280"/>
      <c r="BC455" s="280"/>
      <c r="BD455" s="280"/>
      <c r="BE455" s="280"/>
      <c r="BF455" s="280"/>
      <c r="BG455" s="280"/>
      <c r="BH455" s="280"/>
      <c r="BI455" s="280"/>
      <c r="BJ455" s="280"/>
      <c r="BK455" s="280"/>
      <c r="BL455" s="280"/>
      <c r="BM455" s="280"/>
      <c r="BN455" s="280"/>
      <c r="BO455" s="280"/>
      <c r="BP455" s="280"/>
      <c r="BQ455" s="280"/>
      <c r="BR455" s="280"/>
      <c r="BS455" s="280"/>
      <c r="BT455" s="280"/>
      <c r="BU455" s="280"/>
      <c r="BV455" s="280"/>
    </row>
    <row r="456" spans="2:74" x14ac:dyDescent="0.2">
      <c r="B456" s="280"/>
      <c r="D456" s="280"/>
      <c r="E456" s="280"/>
      <c r="F456" s="280"/>
      <c r="G456" s="280"/>
      <c r="H456" s="280"/>
      <c r="I456" s="280"/>
      <c r="J456" s="280"/>
      <c r="K456" s="280"/>
      <c r="L456" s="280"/>
      <c r="M456" s="280"/>
      <c r="N456" s="280"/>
      <c r="O456" s="280"/>
      <c r="P456" s="280"/>
      <c r="Q456" s="280"/>
      <c r="R456" s="280"/>
      <c r="S456" s="280"/>
      <c r="T456" s="280"/>
      <c r="U456" s="280"/>
      <c r="V456" s="280"/>
      <c r="W456" s="280"/>
      <c r="X456" s="280"/>
      <c r="Y456" s="280"/>
      <c r="Z456" s="280"/>
      <c r="AA456" s="280"/>
      <c r="AB456" s="280"/>
      <c r="AC456" s="280"/>
      <c r="AD456" s="280"/>
      <c r="AE456" s="280"/>
      <c r="AF456" s="280"/>
      <c r="AG456" s="280"/>
      <c r="AH456" s="280"/>
      <c r="AI456" s="280"/>
      <c r="AJ456" s="280"/>
      <c r="AK456" s="280"/>
      <c r="AL456" s="280"/>
      <c r="AM456" s="280"/>
      <c r="AN456" s="280"/>
      <c r="AO456" s="280"/>
      <c r="AP456" s="280"/>
      <c r="AQ456" s="280"/>
      <c r="AR456" s="280"/>
      <c r="AS456" s="280"/>
      <c r="AT456" s="280"/>
      <c r="AU456" s="280"/>
      <c r="AV456" s="280"/>
      <c r="AW456" s="280"/>
      <c r="AX456" s="280"/>
      <c r="AY456" s="280"/>
      <c r="AZ456" s="280"/>
      <c r="BA456" s="280"/>
      <c r="BB456" s="280"/>
      <c r="BC456" s="280"/>
      <c r="BD456" s="280"/>
      <c r="BE456" s="280"/>
      <c r="BF456" s="280"/>
      <c r="BG456" s="280"/>
      <c r="BH456" s="280"/>
      <c r="BI456" s="280"/>
      <c r="BJ456" s="280"/>
      <c r="BK456" s="280"/>
      <c r="BL456" s="280"/>
      <c r="BM456" s="280"/>
      <c r="BN456" s="280"/>
      <c r="BO456" s="280"/>
      <c r="BP456" s="280"/>
      <c r="BQ456" s="280"/>
      <c r="BR456" s="280"/>
      <c r="BS456" s="280"/>
      <c r="BT456" s="280"/>
      <c r="BU456" s="280"/>
      <c r="BV456" s="280"/>
    </row>
    <row r="457" spans="2:74" x14ac:dyDescent="0.2">
      <c r="B457" s="280"/>
      <c r="D457" s="280"/>
      <c r="E457" s="280"/>
      <c r="F457" s="280"/>
      <c r="G457" s="280"/>
      <c r="H457" s="280"/>
      <c r="I457" s="280"/>
      <c r="J457" s="280"/>
      <c r="K457" s="280"/>
      <c r="L457" s="280"/>
      <c r="M457" s="280"/>
      <c r="N457" s="280"/>
      <c r="O457" s="280"/>
      <c r="P457" s="280"/>
      <c r="Q457" s="280"/>
      <c r="R457" s="280"/>
      <c r="S457" s="280"/>
      <c r="T457" s="280"/>
      <c r="U457" s="280"/>
      <c r="V457" s="280"/>
      <c r="W457" s="280"/>
      <c r="X457" s="280"/>
      <c r="Y457" s="280"/>
      <c r="Z457" s="280"/>
      <c r="AA457" s="280"/>
      <c r="AB457" s="280"/>
      <c r="AC457" s="280"/>
      <c r="AD457" s="280"/>
      <c r="AE457" s="280"/>
      <c r="AF457" s="280"/>
      <c r="AG457" s="280"/>
      <c r="AH457" s="280"/>
      <c r="AI457" s="280"/>
      <c r="AJ457" s="280"/>
      <c r="AK457" s="280"/>
      <c r="AL457" s="280"/>
      <c r="AM457" s="280"/>
      <c r="AN457" s="280"/>
      <c r="AO457" s="280"/>
      <c r="AP457" s="280"/>
      <c r="AQ457" s="280"/>
      <c r="AR457" s="280"/>
      <c r="AS457" s="280"/>
      <c r="AT457" s="280"/>
      <c r="AU457" s="280"/>
      <c r="AV457" s="280"/>
      <c r="AW457" s="280"/>
      <c r="AX457" s="280"/>
      <c r="AY457" s="280"/>
      <c r="AZ457" s="280"/>
      <c r="BA457" s="280"/>
      <c r="BB457" s="280"/>
      <c r="BC457" s="280"/>
      <c r="BD457" s="280"/>
      <c r="BE457" s="280"/>
      <c r="BF457" s="280"/>
      <c r="BG457" s="280"/>
      <c r="BH457" s="280"/>
      <c r="BI457" s="280"/>
      <c r="BJ457" s="280"/>
      <c r="BK457" s="280"/>
      <c r="BL457" s="280"/>
      <c r="BM457" s="280"/>
      <c r="BN457" s="280"/>
      <c r="BO457" s="280"/>
      <c r="BP457" s="280"/>
      <c r="BQ457" s="280"/>
      <c r="BR457" s="280"/>
      <c r="BS457" s="280"/>
      <c r="BT457" s="280"/>
      <c r="BU457" s="280"/>
      <c r="BV457" s="280"/>
    </row>
    <row r="458" spans="2:74" x14ac:dyDescent="0.2">
      <c r="B458" s="280"/>
      <c r="D458" s="280"/>
      <c r="E458" s="280"/>
      <c r="F458" s="280"/>
      <c r="G458" s="280"/>
      <c r="H458" s="280"/>
      <c r="I458" s="280"/>
      <c r="J458" s="280"/>
      <c r="K458" s="280"/>
      <c r="L458" s="280"/>
      <c r="M458" s="280"/>
      <c r="N458" s="280"/>
      <c r="O458" s="280"/>
      <c r="P458" s="280"/>
      <c r="Q458" s="280"/>
      <c r="R458" s="280"/>
      <c r="S458" s="280"/>
      <c r="T458" s="280"/>
      <c r="U458" s="280"/>
      <c r="V458" s="280"/>
      <c r="W458" s="280"/>
      <c r="X458" s="280"/>
      <c r="Y458" s="280"/>
      <c r="Z458" s="280"/>
      <c r="AA458" s="280"/>
      <c r="AB458" s="280"/>
      <c r="AC458" s="280"/>
      <c r="AD458" s="280"/>
      <c r="AE458" s="280"/>
      <c r="AF458" s="280"/>
      <c r="AG458" s="280"/>
      <c r="AH458" s="280"/>
      <c r="AI458" s="280"/>
      <c r="AJ458" s="280"/>
      <c r="AK458" s="280"/>
      <c r="AL458" s="280"/>
      <c r="AM458" s="280"/>
      <c r="AN458" s="280"/>
      <c r="AO458" s="280"/>
      <c r="AP458" s="280"/>
      <c r="AQ458" s="280"/>
      <c r="AR458" s="280"/>
      <c r="AS458" s="280"/>
      <c r="AT458" s="280"/>
      <c r="AU458" s="280"/>
      <c r="AV458" s="280"/>
      <c r="AW458" s="280"/>
      <c r="AX458" s="280"/>
      <c r="AY458" s="280"/>
      <c r="AZ458" s="280"/>
      <c r="BA458" s="280"/>
      <c r="BB458" s="280"/>
      <c r="BC458" s="280"/>
      <c r="BD458" s="280"/>
      <c r="BE458" s="280"/>
      <c r="BF458" s="280"/>
      <c r="BG458" s="280"/>
      <c r="BH458" s="280"/>
      <c r="BI458" s="280"/>
      <c r="BJ458" s="280"/>
      <c r="BK458" s="280"/>
      <c r="BL458" s="280"/>
      <c r="BM458" s="280"/>
      <c r="BN458" s="280"/>
      <c r="BO458" s="280"/>
      <c r="BP458" s="280"/>
      <c r="BQ458" s="280"/>
      <c r="BR458" s="280"/>
      <c r="BS458" s="280"/>
      <c r="BT458" s="280"/>
      <c r="BU458" s="280"/>
      <c r="BV458" s="280"/>
    </row>
    <row r="459" spans="2:74" x14ac:dyDescent="0.2">
      <c r="B459" s="280"/>
      <c r="D459" s="280"/>
      <c r="E459" s="280"/>
      <c r="F459" s="280"/>
      <c r="G459" s="280"/>
      <c r="H459" s="280"/>
      <c r="I459" s="280"/>
      <c r="J459" s="280"/>
      <c r="K459" s="280"/>
      <c r="L459" s="280"/>
      <c r="M459" s="280"/>
      <c r="N459" s="280"/>
      <c r="O459" s="280"/>
      <c r="P459" s="280"/>
      <c r="Q459" s="280"/>
      <c r="R459" s="280"/>
      <c r="S459" s="280"/>
      <c r="T459" s="280"/>
      <c r="U459" s="280"/>
      <c r="V459" s="280"/>
      <c r="W459" s="280"/>
      <c r="X459" s="280"/>
      <c r="Y459" s="280"/>
      <c r="Z459" s="280"/>
      <c r="AA459" s="280"/>
      <c r="AB459" s="280"/>
      <c r="AC459" s="280"/>
      <c r="AD459" s="280"/>
      <c r="AE459" s="280"/>
      <c r="AF459" s="280"/>
      <c r="AG459" s="280"/>
      <c r="AH459" s="280"/>
      <c r="AI459" s="280"/>
      <c r="AJ459" s="280"/>
      <c r="AK459" s="280"/>
      <c r="AL459" s="280"/>
      <c r="AM459" s="280"/>
      <c r="AN459" s="280"/>
      <c r="AO459" s="280"/>
      <c r="AP459" s="280"/>
      <c r="AQ459" s="280"/>
      <c r="AR459" s="280"/>
      <c r="AS459" s="280"/>
      <c r="AT459" s="280"/>
      <c r="AU459" s="280"/>
      <c r="AV459" s="280"/>
      <c r="AW459" s="280"/>
      <c r="AX459" s="280"/>
      <c r="AY459" s="280"/>
      <c r="AZ459" s="280"/>
      <c r="BA459" s="280"/>
      <c r="BB459" s="280"/>
      <c r="BC459" s="280"/>
      <c r="BD459" s="280"/>
      <c r="BE459" s="280"/>
      <c r="BF459" s="280"/>
      <c r="BG459" s="280"/>
      <c r="BH459" s="280"/>
      <c r="BI459" s="280"/>
      <c r="BJ459" s="280"/>
      <c r="BK459" s="280"/>
      <c r="BL459" s="280"/>
      <c r="BM459" s="280"/>
      <c r="BN459" s="280"/>
      <c r="BO459" s="280"/>
      <c r="BP459" s="280"/>
      <c r="BQ459" s="280"/>
      <c r="BR459" s="280"/>
      <c r="BS459" s="280"/>
      <c r="BT459" s="280"/>
      <c r="BU459" s="280"/>
      <c r="BV459" s="280"/>
    </row>
    <row r="460" spans="2:74" x14ac:dyDescent="0.2">
      <c r="B460" s="280"/>
      <c r="D460" s="280"/>
      <c r="E460" s="280"/>
      <c r="F460" s="280"/>
      <c r="G460" s="280"/>
      <c r="H460" s="280"/>
      <c r="I460" s="280"/>
      <c r="J460" s="280"/>
      <c r="K460" s="280"/>
      <c r="L460" s="280"/>
      <c r="M460" s="280"/>
      <c r="N460" s="280"/>
      <c r="O460" s="280"/>
      <c r="P460" s="280"/>
      <c r="Q460" s="280"/>
      <c r="R460" s="280"/>
      <c r="S460" s="280"/>
      <c r="T460" s="280"/>
      <c r="U460" s="280"/>
      <c r="V460" s="280"/>
      <c r="W460" s="280"/>
      <c r="X460" s="280"/>
      <c r="Y460" s="280"/>
      <c r="Z460" s="280"/>
      <c r="AA460" s="280"/>
      <c r="AB460" s="280"/>
      <c r="AC460" s="280"/>
      <c r="AD460" s="280"/>
      <c r="AE460" s="280"/>
      <c r="AF460" s="280"/>
      <c r="AG460" s="280"/>
      <c r="AH460" s="280"/>
      <c r="AI460" s="280"/>
      <c r="AJ460" s="280"/>
      <c r="AK460" s="280"/>
      <c r="AL460" s="280"/>
      <c r="AM460" s="280"/>
      <c r="AN460" s="280"/>
      <c r="AO460" s="280"/>
      <c r="AP460" s="280"/>
      <c r="AQ460" s="280"/>
      <c r="AR460" s="280"/>
      <c r="AS460" s="280"/>
      <c r="AT460" s="280"/>
      <c r="AU460" s="280"/>
      <c r="AV460" s="280"/>
      <c r="AW460" s="280"/>
      <c r="AX460" s="280"/>
      <c r="AY460" s="280"/>
      <c r="AZ460" s="280"/>
      <c r="BA460" s="280"/>
      <c r="BB460" s="280"/>
      <c r="BC460" s="280"/>
      <c r="BD460" s="280"/>
      <c r="BE460" s="280"/>
      <c r="BF460" s="280"/>
      <c r="BG460" s="280"/>
      <c r="BH460" s="280"/>
      <c r="BI460" s="280"/>
      <c r="BJ460" s="280"/>
      <c r="BK460" s="280"/>
      <c r="BL460" s="280"/>
      <c r="BM460" s="280"/>
      <c r="BN460" s="280"/>
      <c r="BO460" s="280"/>
      <c r="BP460" s="280"/>
      <c r="BQ460" s="280"/>
      <c r="BR460" s="280"/>
      <c r="BS460" s="280"/>
      <c r="BT460" s="280"/>
      <c r="BU460" s="280"/>
      <c r="BV460" s="280"/>
    </row>
    <row r="461" spans="2:74" x14ac:dyDescent="0.2">
      <c r="B461" s="280"/>
      <c r="D461" s="280"/>
      <c r="E461" s="280"/>
      <c r="F461" s="280"/>
      <c r="G461" s="280"/>
      <c r="H461" s="280"/>
      <c r="I461" s="280"/>
      <c r="J461" s="280"/>
      <c r="K461" s="280"/>
      <c r="L461" s="280"/>
      <c r="M461" s="280"/>
      <c r="N461" s="280"/>
      <c r="O461" s="280"/>
      <c r="P461" s="280"/>
      <c r="Q461" s="280"/>
      <c r="R461" s="280"/>
      <c r="S461" s="280"/>
      <c r="T461" s="280"/>
      <c r="U461" s="280"/>
      <c r="V461" s="280"/>
      <c r="W461" s="280"/>
      <c r="X461" s="280"/>
      <c r="Y461" s="280"/>
      <c r="Z461" s="280"/>
      <c r="AA461" s="280"/>
      <c r="AB461" s="280"/>
      <c r="AC461" s="280"/>
      <c r="AD461" s="280"/>
      <c r="AE461" s="280"/>
      <c r="AF461" s="280"/>
      <c r="AG461" s="280"/>
      <c r="AH461" s="280"/>
      <c r="AI461" s="280"/>
      <c r="AJ461" s="280"/>
      <c r="AK461" s="280"/>
      <c r="AL461" s="280"/>
      <c r="AM461" s="280"/>
      <c r="AN461" s="280"/>
      <c r="AO461" s="280"/>
      <c r="AP461" s="280"/>
      <c r="AQ461" s="280"/>
      <c r="AR461" s="280"/>
      <c r="AS461" s="280"/>
      <c r="AT461" s="280"/>
      <c r="AU461" s="280"/>
      <c r="AV461" s="280"/>
      <c r="AW461" s="280"/>
      <c r="AX461" s="280"/>
      <c r="AY461" s="280"/>
      <c r="AZ461" s="280"/>
      <c r="BA461" s="280"/>
      <c r="BB461" s="280"/>
      <c r="BC461" s="280"/>
      <c r="BD461" s="280"/>
      <c r="BE461" s="280"/>
      <c r="BF461" s="280"/>
      <c r="BG461" s="280"/>
      <c r="BH461" s="280"/>
      <c r="BI461" s="280"/>
      <c r="BJ461" s="280"/>
      <c r="BK461" s="280"/>
      <c r="BL461" s="280"/>
      <c r="BM461" s="280"/>
      <c r="BN461" s="280"/>
      <c r="BO461" s="280"/>
      <c r="BP461" s="280"/>
      <c r="BQ461" s="280"/>
      <c r="BR461" s="280"/>
      <c r="BS461" s="280"/>
      <c r="BT461" s="280"/>
      <c r="BU461" s="280"/>
      <c r="BV461" s="280"/>
    </row>
    <row r="462" spans="2:74" x14ac:dyDescent="0.2">
      <c r="B462" s="280"/>
      <c r="D462" s="280"/>
      <c r="E462" s="280"/>
      <c r="F462" s="280"/>
      <c r="G462" s="280"/>
      <c r="H462" s="280"/>
      <c r="I462" s="280"/>
      <c r="J462" s="280"/>
      <c r="K462" s="280"/>
      <c r="L462" s="280"/>
      <c r="M462" s="280"/>
      <c r="N462" s="280"/>
      <c r="O462" s="280"/>
      <c r="P462" s="280"/>
      <c r="Q462" s="280"/>
      <c r="R462" s="280"/>
      <c r="S462" s="280"/>
      <c r="T462" s="280"/>
      <c r="U462" s="280"/>
      <c r="V462" s="280"/>
      <c r="W462" s="280"/>
      <c r="X462" s="280"/>
      <c r="Y462" s="280"/>
      <c r="Z462" s="280"/>
      <c r="AA462" s="280"/>
      <c r="AB462" s="280"/>
      <c r="AC462" s="280"/>
      <c r="AD462" s="280"/>
      <c r="AE462" s="280"/>
      <c r="AF462" s="280"/>
      <c r="AG462" s="280"/>
      <c r="AH462" s="280"/>
      <c r="AI462" s="280"/>
      <c r="AJ462" s="280"/>
      <c r="AK462" s="280"/>
      <c r="AL462" s="280"/>
      <c r="AM462" s="280"/>
      <c r="AN462" s="280"/>
      <c r="AO462" s="280"/>
      <c r="AP462" s="280"/>
      <c r="AQ462" s="280"/>
      <c r="AR462" s="280"/>
      <c r="AS462" s="280"/>
      <c r="AT462" s="280"/>
      <c r="AU462" s="280"/>
      <c r="AV462" s="280"/>
      <c r="AW462" s="280"/>
      <c r="AX462" s="280"/>
      <c r="AY462" s="280"/>
      <c r="AZ462" s="280"/>
      <c r="BA462" s="280"/>
      <c r="BB462" s="280"/>
      <c r="BC462" s="280"/>
      <c r="BD462" s="280"/>
      <c r="BE462" s="280"/>
      <c r="BF462" s="280"/>
      <c r="BG462" s="280"/>
      <c r="BH462" s="280"/>
      <c r="BI462" s="280"/>
      <c r="BJ462" s="280"/>
      <c r="BK462" s="280"/>
      <c r="BL462" s="280"/>
      <c r="BM462" s="280"/>
      <c r="BN462" s="280"/>
      <c r="BO462" s="280"/>
      <c r="BP462" s="280"/>
      <c r="BQ462" s="280"/>
      <c r="BR462" s="280"/>
      <c r="BS462" s="280"/>
      <c r="BT462" s="280"/>
      <c r="BU462" s="280"/>
      <c r="BV462" s="280"/>
    </row>
    <row r="463" spans="2:74" x14ac:dyDescent="0.2">
      <c r="B463" s="280"/>
      <c r="D463" s="280"/>
      <c r="E463" s="280"/>
      <c r="F463" s="280"/>
      <c r="G463" s="280"/>
      <c r="H463" s="280"/>
      <c r="I463" s="280"/>
      <c r="J463" s="280"/>
      <c r="K463" s="280"/>
      <c r="L463" s="280"/>
      <c r="M463" s="280"/>
      <c r="N463" s="280"/>
      <c r="O463" s="280"/>
      <c r="P463" s="280"/>
      <c r="Q463" s="280"/>
      <c r="R463" s="280"/>
      <c r="S463" s="280"/>
      <c r="T463" s="280"/>
      <c r="U463" s="280"/>
      <c r="V463" s="280"/>
      <c r="W463" s="280"/>
      <c r="X463" s="280"/>
      <c r="Y463" s="280"/>
      <c r="Z463" s="280"/>
      <c r="AA463" s="280"/>
      <c r="AB463" s="280"/>
      <c r="AC463" s="280"/>
      <c r="AD463" s="280"/>
      <c r="AE463" s="280"/>
      <c r="AF463" s="280"/>
      <c r="AG463" s="280"/>
      <c r="AH463" s="280"/>
      <c r="AI463" s="280"/>
      <c r="AJ463" s="280"/>
      <c r="AK463" s="280"/>
      <c r="AL463" s="280"/>
      <c r="AM463" s="280"/>
      <c r="AN463" s="280"/>
      <c r="AO463" s="280"/>
      <c r="AP463" s="280"/>
      <c r="AQ463" s="280"/>
      <c r="AR463" s="280"/>
      <c r="AS463" s="280"/>
      <c r="AT463" s="280"/>
      <c r="AU463" s="280"/>
      <c r="AV463" s="280"/>
      <c r="AW463" s="280"/>
      <c r="AX463" s="280"/>
      <c r="AY463" s="280"/>
      <c r="AZ463" s="280"/>
      <c r="BA463" s="280"/>
      <c r="BB463" s="280"/>
      <c r="BC463" s="280"/>
      <c r="BD463" s="280"/>
      <c r="BE463" s="280"/>
      <c r="BF463" s="280"/>
      <c r="BG463" s="280"/>
      <c r="BH463" s="280"/>
      <c r="BI463" s="280"/>
      <c r="BJ463" s="280"/>
      <c r="BK463" s="280"/>
      <c r="BL463" s="280"/>
      <c r="BM463" s="280"/>
      <c r="BN463" s="280"/>
      <c r="BO463" s="280"/>
      <c r="BP463" s="280"/>
      <c r="BQ463" s="280"/>
      <c r="BR463" s="280"/>
      <c r="BS463" s="280"/>
      <c r="BT463" s="280"/>
      <c r="BU463" s="280"/>
      <c r="BV463" s="280"/>
    </row>
    <row r="464" spans="2:74" x14ac:dyDescent="0.2">
      <c r="B464" s="280"/>
      <c r="D464" s="280"/>
      <c r="E464" s="280"/>
      <c r="F464" s="280"/>
      <c r="G464" s="280"/>
      <c r="H464" s="280"/>
      <c r="I464" s="280"/>
      <c r="J464" s="280"/>
      <c r="K464" s="280"/>
      <c r="L464" s="280"/>
      <c r="M464" s="280"/>
      <c r="N464" s="280"/>
      <c r="O464" s="280"/>
      <c r="P464" s="280"/>
      <c r="Q464" s="280"/>
      <c r="R464" s="280"/>
      <c r="S464" s="280"/>
      <c r="T464" s="280"/>
      <c r="U464" s="280"/>
      <c r="V464" s="280"/>
      <c r="W464" s="280"/>
      <c r="X464" s="280"/>
      <c r="Y464" s="280"/>
      <c r="Z464" s="280"/>
      <c r="AA464" s="280"/>
      <c r="AB464" s="280"/>
      <c r="AC464" s="280"/>
      <c r="AD464" s="280"/>
      <c r="AE464" s="280"/>
      <c r="AF464" s="280"/>
      <c r="AG464" s="280"/>
      <c r="AH464" s="280"/>
      <c r="AI464" s="280"/>
      <c r="AJ464" s="280"/>
      <c r="AK464" s="280"/>
      <c r="AL464" s="280"/>
      <c r="AM464" s="280"/>
      <c r="AN464" s="280"/>
      <c r="AO464" s="280"/>
      <c r="AP464" s="280"/>
      <c r="AQ464" s="280"/>
      <c r="AR464" s="280"/>
      <c r="AS464" s="280"/>
      <c r="AT464" s="280"/>
      <c r="AU464" s="280"/>
      <c r="AV464" s="280"/>
      <c r="AW464" s="280"/>
      <c r="AX464" s="280"/>
      <c r="AY464" s="280"/>
      <c r="AZ464" s="280"/>
      <c r="BA464" s="280"/>
      <c r="BB464" s="280"/>
      <c r="BC464" s="280"/>
      <c r="BD464" s="280"/>
      <c r="BE464" s="280"/>
      <c r="BF464" s="280"/>
      <c r="BG464" s="280"/>
      <c r="BH464" s="280"/>
      <c r="BI464" s="280"/>
      <c r="BJ464" s="280"/>
      <c r="BK464" s="280"/>
      <c r="BL464" s="280"/>
      <c r="BM464" s="280"/>
      <c r="BN464" s="280"/>
      <c r="BO464" s="280"/>
      <c r="BP464" s="280"/>
      <c r="BQ464" s="280"/>
      <c r="BR464" s="280"/>
      <c r="BS464" s="280"/>
      <c r="BT464" s="280"/>
      <c r="BU464" s="280"/>
      <c r="BV464" s="280"/>
    </row>
    <row r="465" spans="2:74" x14ac:dyDescent="0.2">
      <c r="B465" s="280"/>
      <c r="D465" s="280"/>
      <c r="E465" s="280"/>
      <c r="F465" s="280"/>
      <c r="G465" s="280"/>
      <c r="H465" s="280"/>
      <c r="I465" s="280"/>
      <c r="J465" s="280"/>
      <c r="K465" s="280"/>
      <c r="L465" s="280"/>
      <c r="M465" s="280"/>
      <c r="N465" s="280"/>
      <c r="O465" s="280"/>
      <c r="P465" s="280"/>
      <c r="Q465" s="280"/>
      <c r="R465" s="280"/>
      <c r="S465" s="280"/>
      <c r="T465" s="280"/>
      <c r="U465" s="280"/>
      <c r="V465" s="280"/>
      <c r="W465" s="280"/>
      <c r="X465" s="280"/>
      <c r="Y465" s="280"/>
      <c r="Z465" s="280"/>
      <c r="AA465" s="280"/>
      <c r="AB465" s="280"/>
      <c r="AC465" s="280"/>
      <c r="AD465" s="280"/>
      <c r="AE465" s="280"/>
      <c r="AF465" s="280"/>
      <c r="AG465" s="280"/>
      <c r="AH465" s="280"/>
      <c r="AI465" s="280"/>
      <c r="AJ465" s="280"/>
      <c r="AK465" s="280"/>
      <c r="AL465" s="280"/>
      <c r="AM465" s="280"/>
      <c r="AN465" s="280"/>
      <c r="AO465" s="280"/>
      <c r="AP465" s="280"/>
      <c r="AQ465" s="280"/>
      <c r="AR465" s="280"/>
      <c r="AS465" s="280"/>
      <c r="AT465" s="280"/>
      <c r="AU465" s="280"/>
      <c r="AV465" s="280"/>
      <c r="AW465" s="280"/>
      <c r="AX465" s="280"/>
      <c r="AY465" s="280"/>
      <c r="AZ465" s="280"/>
      <c r="BA465" s="280"/>
      <c r="BB465" s="280"/>
      <c r="BC465" s="280"/>
      <c r="BD465" s="280"/>
      <c r="BE465" s="280"/>
      <c r="BF465" s="280"/>
      <c r="BG465" s="280"/>
      <c r="BH465" s="280"/>
      <c r="BI465" s="280"/>
      <c r="BJ465" s="280"/>
      <c r="BK465" s="280"/>
      <c r="BL465" s="280"/>
      <c r="BM465" s="280"/>
      <c r="BN465" s="280"/>
      <c r="BO465" s="280"/>
      <c r="BP465" s="280"/>
      <c r="BQ465" s="280"/>
      <c r="BR465" s="280"/>
      <c r="BS465" s="280"/>
      <c r="BT465" s="280"/>
      <c r="BU465" s="280"/>
      <c r="BV465" s="280"/>
    </row>
    <row r="466" spans="2:74" x14ac:dyDescent="0.2">
      <c r="B466" s="280"/>
      <c r="D466" s="280"/>
      <c r="E466" s="280"/>
      <c r="F466" s="280"/>
      <c r="G466" s="280"/>
      <c r="H466" s="280"/>
      <c r="I466" s="280"/>
      <c r="J466" s="280"/>
      <c r="K466" s="280"/>
      <c r="L466" s="280"/>
      <c r="M466" s="280"/>
      <c r="N466" s="280"/>
      <c r="O466" s="280"/>
      <c r="P466" s="280"/>
      <c r="Q466" s="280"/>
      <c r="R466" s="280"/>
      <c r="S466" s="280"/>
      <c r="T466" s="280"/>
      <c r="U466" s="280"/>
      <c r="V466" s="280"/>
      <c r="W466" s="280"/>
      <c r="X466" s="280"/>
      <c r="Y466" s="280"/>
      <c r="Z466" s="280"/>
      <c r="AA466" s="280"/>
      <c r="AB466" s="280"/>
      <c r="AC466" s="280"/>
      <c r="AD466" s="280"/>
      <c r="AE466" s="280"/>
      <c r="AF466" s="280"/>
      <c r="AG466" s="280"/>
      <c r="AH466" s="280"/>
      <c r="AI466" s="280"/>
      <c r="AJ466" s="280"/>
      <c r="AK466" s="280"/>
      <c r="AL466" s="280"/>
      <c r="AM466" s="280"/>
      <c r="AN466" s="280"/>
      <c r="AO466" s="280"/>
      <c r="AP466" s="280"/>
      <c r="AQ466" s="280"/>
      <c r="AR466" s="280"/>
      <c r="AS466" s="280"/>
      <c r="AT466" s="280"/>
      <c r="AU466" s="280"/>
      <c r="AV466" s="280"/>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row>
    <row r="467" spans="2:74" x14ac:dyDescent="0.2">
      <c r="B467" s="280"/>
      <c r="D467" s="280"/>
      <c r="E467" s="280"/>
      <c r="F467" s="280"/>
      <c r="G467" s="280"/>
      <c r="H467" s="280"/>
      <c r="I467" s="280"/>
      <c r="J467" s="280"/>
      <c r="K467" s="280"/>
      <c r="L467" s="280"/>
      <c r="M467" s="280"/>
      <c r="N467" s="280"/>
      <c r="O467" s="280"/>
      <c r="P467" s="280"/>
      <c r="Q467" s="280"/>
      <c r="R467" s="280"/>
      <c r="S467" s="280"/>
      <c r="T467" s="280"/>
      <c r="U467" s="280"/>
      <c r="V467" s="280"/>
      <c r="W467" s="280"/>
      <c r="X467" s="280"/>
      <c r="Y467" s="280"/>
      <c r="Z467" s="280"/>
      <c r="AA467" s="280"/>
      <c r="AB467" s="280"/>
      <c r="AC467" s="280"/>
      <c r="AD467" s="280"/>
      <c r="AE467" s="280"/>
      <c r="AF467" s="280"/>
      <c r="AG467" s="280"/>
      <c r="AH467" s="280"/>
      <c r="AI467" s="280"/>
      <c r="AJ467" s="280"/>
      <c r="AK467" s="280"/>
      <c r="AL467" s="280"/>
      <c r="AM467" s="280"/>
      <c r="AN467" s="280"/>
      <c r="AO467" s="280"/>
      <c r="AP467" s="280"/>
      <c r="AQ467" s="280"/>
      <c r="AR467" s="280"/>
      <c r="AS467" s="280"/>
      <c r="AT467" s="280"/>
      <c r="AU467" s="280"/>
      <c r="AV467" s="280"/>
      <c r="AW467" s="280"/>
      <c r="AX467" s="280"/>
      <c r="AY467" s="280"/>
      <c r="AZ467" s="280"/>
      <c r="BA467" s="280"/>
      <c r="BB467" s="280"/>
      <c r="BC467" s="280"/>
      <c r="BD467" s="280"/>
      <c r="BE467" s="280"/>
      <c r="BF467" s="280"/>
      <c r="BG467" s="280"/>
      <c r="BH467" s="280"/>
      <c r="BI467" s="280"/>
      <c r="BJ467" s="280"/>
      <c r="BK467" s="280"/>
      <c r="BL467" s="280"/>
      <c r="BM467" s="280"/>
      <c r="BN467" s="280"/>
      <c r="BO467" s="280"/>
      <c r="BP467" s="280"/>
      <c r="BQ467" s="280"/>
      <c r="BR467" s="280"/>
      <c r="BS467" s="280"/>
      <c r="BT467" s="280"/>
      <c r="BU467" s="280"/>
      <c r="BV467" s="280"/>
    </row>
    <row r="468" spans="2:74" x14ac:dyDescent="0.2">
      <c r="B468" s="280"/>
      <c r="D468" s="280"/>
      <c r="E468" s="280"/>
      <c r="F468" s="280"/>
      <c r="G468" s="280"/>
      <c r="H468" s="280"/>
      <c r="I468" s="280"/>
      <c r="J468" s="280"/>
      <c r="K468" s="280"/>
      <c r="L468" s="280"/>
      <c r="M468" s="280"/>
      <c r="N468" s="280"/>
      <c r="O468" s="280"/>
      <c r="P468" s="280"/>
      <c r="Q468" s="280"/>
      <c r="R468" s="280"/>
      <c r="S468" s="280"/>
      <c r="T468" s="280"/>
      <c r="U468" s="280"/>
      <c r="V468" s="280"/>
      <c r="W468" s="280"/>
      <c r="X468" s="280"/>
      <c r="Y468" s="280"/>
      <c r="Z468" s="280"/>
      <c r="AA468" s="280"/>
      <c r="AB468" s="280"/>
      <c r="AC468" s="280"/>
      <c r="AD468" s="280"/>
      <c r="AE468" s="280"/>
      <c r="AF468" s="280"/>
      <c r="AG468" s="280"/>
      <c r="AH468" s="280"/>
      <c r="AI468" s="280"/>
      <c r="AJ468" s="280"/>
      <c r="AK468" s="280"/>
      <c r="AL468" s="280"/>
      <c r="AM468" s="280"/>
      <c r="AN468" s="280"/>
      <c r="AO468" s="280"/>
      <c r="AP468" s="280"/>
      <c r="AQ468" s="280"/>
      <c r="AR468" s="280"/>
      <c r="AS468" s="280"/>
      <c r="AT468" s="280"/>
      <c r="AU468" s="280"/>
      <c r="AV468" s="280"/>
      <c r="AW468" s="280"/>
      <c r="AX468" s="280"/>
      <c r="AY468" s="280"/>
      <c r="AZ468" s="280"/>
      <c r="BA468" s="280"/>
      <c r="BB468" s="280"/>
      <c r="BC468" s="280"/>
      <c r="BD468" s="280"/>
      <c r="BE468" s="280"/>
      <c r="BF468" s="280"/>
      <c r="BG468" s="280"/>
      <c r="BH468" s="280"/>
      <c r="BI468" s="280"/>
      <c r="BJ468" s="280"/>
      <c r="BK468" s="280"/>
      <c r="BL468" s="280"/>
      <c r="BM468" s="280"/>
      <c r="BN468" s="280"/>
      <c r="BO468" s="280"/>
      <c r="BP468" s="280"/>
      <c r="BQ468" s="280"/>
      <c r="BR468" s="280"/>
      <c r="BS468" s="280"/>
      <c r="BT468" s="280"/>
      <c r="BU468" s="280"/>
      <c r="BV468" s="280"/>
    </row>
    <row r="469" spans="2:74" x14ac:dyDescent="0.2">
      <c r="B469" s="280"/>
      <c r="D469" s="280"/>
      <c r="E469" s="280"/>
      <c r="F469" s="280"/>
      <c r="G469" s="280"/>
      <c r="H469" s="280"/>
      <c r="I469" s="280"/>
      <c r="J469" s="280"/>
      <c r="K469" s="280"/>
      <c r="L469" s="280"/>
      <c r="M469" s="280"/>
      <c r="N469" s="280"/>
      <c r="O469" s="280"/>
      <c r="P469" s="280"/>
      <c r="Q469" s="280"/>
      <c r="R469" s="280"/>
      <c r="S469" s="280"/>
      <c r="T469" s="280"/>
      <c r="U469" s="280"/>
      <c r="V469" s="280"/>
      <c r="W469" s="280"/>
      <c r="X469" s="280"/>
      <c r="Y469" s="280"/>
      <c r="Z469" s="280"/>
      <c r="AA469" s="280"/>
      <c r="AB469" s="280"/>
      <c r="AC469" s="280"/>
      <c r="AD469" s="280"/>
      <c r="AE469" s="280"/>
      <c r="AF469" s="280"/>
      <c r="AG469" s="280"/>
      <c r="AH469" s="280"/>
      <c r="AI469" s="280"/>
      <c r="AJ469" s="280"/>
      <c r="AK469" s="280"/>
      <c r="AL469" s="280"/>
      <c r="AM469" s="280"/>
      <c r="AN469" s="280"/>
      <c r="AO469" s="280"/>
      <c r="AP469" s="280"/>
      <c r="AQ469" s="280"/>
      <c r="AR469" s="280"/>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row>
    <row r="470" spans="2:74" x14ac:dyDescent="0.2">
      <c r="B470" s="280"/>
      <c r="D470" s="280"/>
      <c r="E470" s="280"/>
      <c r="F470" s="280"/>
      <c r="G470" s="280"/>
      <c r="H470" s="280"/>
      <c r="I470" s="280"/>
      <c r="J470" s="280"/>
      <c r="K470" s="280"/>
      <c r="L470" s="280"/>
      <c r="M470" s="280"/>
      <c r="N470" s="280"/>
      <c r="O470" s="280"/>
      <c r="P470" s="280"/>
      <c r="Q470" s="280"/>
      <c r="R470" s="280"/>
      <c r="S470" s="280"/>
      <c r="T470" s="280"/>
      <c r="U470" s="280"/>
      <c r="V470" s="280"/>
      <c r="W470" s="280"/>
      <c r="X470" s="280"/>
      <c r="Y470" s="280"/>
      <c r="Z470" s="280"/>
      <c r="AA470" s="280"/>
      <c r="AB470" s="280"/>
      <c r="AC470" s="280"/>
      <c r="AD470" s="280"/>
      <c r="AE470" s="280"/>
      <c r="AF470" s="280"/>
      <c r="AG470" s="280"/>
      <c r="AH470" s="280"/>
      <c r="AI470" s="280"/>
      <c r="AJ470" s="280"/>
      <c r="AK470" s="280"/>
      <c r="AL470" s="280"/>
      <c r="AM470" s="280"/>
      <c r="AN470" s="280"/>
      <c r="AO470" s="280"/>
      <c r="AP470" s="280"/>
      <c r="AQ470" s="280"/>
      <c r="AR470" s="280"/>
      <c r="AS470" s="280"/>
      <c r="AT470" s="280"/>
      <c r="AU470" s="280"/>
      <c r="AV470" s="280"/>
      <c r="AW470" s="280"/>
      <c r="AX470" s="280"/>
      <c r="AY470" s="280"/>
      <c r="AZ470" s="280"/>
      <c r="BA470" s="280"/>
      <c r="BB470" s="280"/>
      <c r="BC470" s="280"/>
      <c r="BD470" s="280"/>
      <c r="BE470" s="280"/>
      <c r="BF470" s="280"/>
      <c r="BG470" s="280"/>
      <c r="BH470" s="280"/>
      <c r="BI470" s="280"/>
      <c r="BJ470" s="280"/>
      <c r="BK470" s="280"/>
      <c r="BL470" s="280"/>
      <c r="BM470" s="280"/>
      <c r="BN470" s="280"/>
      <c r="BO470" s="280"/>
      <c r="BP470" s="280"/>
      <c r="BQ470" s="280"/>
      <c r="BR470" s="280"/>
      <c r="BS470" s="280"/>
      <c r="BT470" s="280"/>
      <c r="BU470" s="280"/>
      <c r="BV470" s="280"/>
    </row>
    <row r="471" spans="2:74" x14ac:dyDescent="0.2">
      <c r="B471" s="280"/>
      <c r="D471" s="280"/>
      <c r="E471" s="280"/>
      <c r="F471" s="280"/>
      <c r="G471" s="280"/>
      <c r="H471" s="280"/>
      <c r="I471" s="280"/>
      <c r="J471" s="280"/>
      <c r="K471" s="280"/>
      <c r="L471" s="280"/>
      <c r="M471" s="280"/>
      <c r="N471" s="280"/>
      <c r="O471" s="280"/>
      <c r="P471" s="280"/>
      <c r="Q471" s="280"/>
      <c r="R471" s="280"/>
      <c r="S471" s="280"/>
      <c r="T471" s="280"/>
      <c r="U471" s="280"/>
      <c r="V471" s="280"/>
      <c r="W471" s="280"/>
      <c r="X471" s="280"/>
      <c r="Y471" s="280"/>
      <c r="Z471" s="280"/>
      <c r="AA471" s="280"/>
      <c r="AB471" s="280"/>
      <c r="AC471" s="280"/>
      <c r="AD471" s="280"/>
      <c r="AE471" s="280"/>
      <c r="AF471" s="280"/>
      <c r="AG471" s="280"/>
      <c r="AH471" s="280"/>
      <c r="AI471" s="280"/>
      <c r="AJ471" s="280"/>
      <c r="AK471" s="280"/>
      <c r="AL471" s="280"/>
      <c r="AM471" s="280"/>
      <c r="AN471" s="280"/>
      <c r="AO471" s="280"/>
      <c r="AP471" s="280"/>
      <c r="AQ471" s="280"/>
      <c r="AR471" s="280"/>
      <c r="AS471" s="280"/>
      <c r="AT471" s="280"/>
      <c r="AU471" s="280"/>
      <c r="AV471" s="280"/>
      <c r="AW471" s="280"/>
      <c r="AX471" s="280"/>
      <c r="AY471" s="280"/>
      <c r="AZ471" s="280"/>
      <c r="BA471" s="280"/>
      <c r="BB471" s="280"/>
      <c r="BC471" s="280"/>
      <c r="BD471" s="280"/>
      <c r="BE471" s="280"/>
      <c r="BF471" s="280"/>
      <c r="BG471" s="280"/>
      <c r="BH471" s="280"/>
      <c r="BI471" s="280"/>
      <c r="BJ471" s="280"/>
      <c r="BK471" s="280"/>
      <c r="BL471" s="280"/>
      <c r="BM471" s="280"/>
      <c r="BN471" s="280"/>
      <c r="BO471" s="280"/>
      <c r="BP471" s="280"/>
      <c r="BQ471" s="280"/>
      <c r="BR471" s="280"/>
      <c r="BS471" s="280"/>
      <c r="BT471" s="280"/>
      <c r="BU471" s="280"/>
      <c r="BV471" s="280"/>
    </row>
    <row r="472" spans="2:74" x14ac:dyDescent="0.2">
      <c r="B472" s="280"/>
      <c r="D472" s="280"/>
      <c r="E472" s="280"/>
      <c r="F472" s="280"/>
      <c r="G472" s="280"/>
      <c r="H472" s="280"/>
      <c r="I472" s="280"/>
      <c r="J472" s="280"/>
      <c r="K472" s="280"/>
      <c r="L472" s="280"/>
      <c r="M472" s="280"/>
      <c r="N472" s="280"/>
      <c r="O472" s="280"/>
      <c r="P472" s="280"/>
      <c r="Q472" s="280"/>
      <c r="R472" s="280"/>
      <c r="S472" s="280"/>
      <c r="T472" s="280"/>
      <c r="U472" s="280"/>
      <c r="V472" s="280"/>
      <c r="W472" s="280"/>
      <c r="X472" s="280"/>
      <c r="Y472" s="280"/>
      <c r="Z472" s="280"/>
      <c r="AA472" s="280"/>
      <c r="AB472" s="280"/>
      <c r="AC472" s="280"/>
      <c r="AD472" s="280"/>
      <c r="AE472" s="280"/>
      <c r="AF472" s="280"/>
      <c r="AG472" s="280"/>
      <c r="AH472" s="28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0"/>
      <c r="BI472" s="280"/>
      <c r="BJ472" s="280"/>
      <c r="BK472" s="280"/>
      <c r="BL472" s="280"/>
      <c r="BM472" s="280"/>
      <c r="BN472" s="280"/>
      <c r="BO472" s="280"/>
      <c r="BP472" s="280"/>
      <c r="BQ472" s="280"/>
      <c r="BR472" s="280"/>
      <c r="BS472" s="280"/>
      <c r="BT472" s="280"/>
      <c r="BU472" s="280"/>
      <c r="BV472" s="280"/>
    </row>
    <row r="473" spans="2:74" x14ac:dyDescent="0.2">
      <c r="B473" s="280"/>
      <c r="D473" s="280"/>
      <c r="E473" s="280"/>
      <c r="F473" s="280"/>
      <c r="G473" s="280"/>
      <c r="H473" s="280"/>
      <c r="I473" s="280"/>
      <c r="J473" s="280"/>
      <c r="K473" s="280"/>
      <c r="L473" s="280"/>
      <c r="M473" s="280"/>
      <c r="N473" s="280"/>
      <c r="O473" s="280"/>
      <c r="P473" s="280"/>
      <c r="Q473" s="280"/>
      <c r="R473" s="280"/>
      <c r="S473" s="280"/>
      <c r="T473" s="280"/>
      <c r="U473" s="280"/>
      <c r="V473" s="280"/>
      <c r="W473" s="280"/>
      <c r="X473" s="280"/>
      <c r="Y473" s="280"/>
      <c r="Z473" s="280"/>
      <c r="AA473" s="280"/>
      <c r="AB473" s="280"/>
      <c r="AC473" s="280"/>
      <c r="AD473" s="280"/>
      <c r="AE473" s="280"/>
      <c r="AF473" s="280"/>
      <c r="AG473" s="280"/>
      <c r="AH473" s="28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0"/>
      <c r="BI473" s="280"/>
      <c r="BJ473" s="280"/>
      <c r="BK473" s="280"/>
      <c r="BL473" s="280"/>
      <c r="BM473" s="280"/>
      <c r="BN473" s="280"/>
      <c r="BO473" s="280"/>
      <c r="BP473" s="280"/>
      <c r="BQ473" s="280"/>
      <c r="BR473" s="280"/>
      <c r="BS473" s="280"/>
      <c r="BT473" s="280"/>
      <c r="BU473" s="280"/>
      <c r="BV473" s="280"/>
    </row>
    <row r="474" spans="2:74" x14ac:dyDescent="0.2">
      <c r="B474" s="280"/>
      <c r="D474" s="280"/>
      <c r="E474" s="280"/>
      <c r="F474" s="280"/>
      <c r="G474" s="280"/>
      <c r="H474" s="280"/>
      <c r="I474" s="280"/>
      <c r="J474" s="280"/>
      <c r="K474" s="280"/>
      <c r="L474" s="280"/>
      <c r="M474" s="280"/>
      <c r="N474" s="280"/>
      <c r="O474" s="280"/>
      <c r="P474" s="280"/>
      <c r="Q474" s="280"/>
      <c r="R474" s="280"/>
      <c r="S474" s="280"/>
      <c r="T474" s="280"/>
      <c r="U474" s="280"/>
      <c r="V474" s="280"/>
      <c r="W474" s="280"/>
      <c r="X474" s="280"/>
      <c r="Y474" s="280"/>
      <c r="Z474" s="280"/>
      <c r="AA474" s="280"/>
      <c r="AB474" s="280"/>
      <c r="AC474" s="280"/>
      <c r="AD474" s="280"/>
      <c r="AE474" s="280"/>
      <c r="AF474" s="280"/>
      <c r="AG474" s="280"/>
      <c r="AH474" s="28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0"/>
      <c r="BI474" s="280"/>
      <c r="BJ474" s="280"/>
      <c r="BK474" s="280"/>
      <c r="BL474" s="280"/>
      <c r="BM474" s="280"/>
      <c r="BN474" s="280"/>
      <c r="BO474" s="280"/>
      <c r="BP474" s="280"/>
      <c r="BQ474" s="280"/>
      <c r="BR474" s="280"/>
      <c r="BS474" s="280"/>
      <c r="BT474" s="280"/>
      <c r="BU474" s="280"/>
      <c r="BV474" s="280"/>
    </row>
    <row r="475" spans="2:74" x14ac:dyDescent="0.2">
      <c r="B475" s="280"/>
      <c r="D475" s="280"/>
      <c r="E475" s="280"/>
      <c r="F475" s="280"/>
      <c r="G475" s="280"/>
      <c r="H475" s="280"/>
      <c r="I475" s="280"/>
      <c r="J475" s="280"/>
      <c r="K475" s="280"/>
      <c r="L475" s="280"/>
      <c r="M475" s="280"/>
      <c r="N475" s="280"/>
      <c r="O475" s="280"/>
      <c r="P475" s="280"/>
      <c r="Q475" s="280"/>
      <c r="R475" s="280"/>
      <c r="S475" s="280"/>
      <c r="T475" s="280"/>
      <c r="U475" s="280"/>
      <c r="V475" s="280"/>
      <c r="W475" s="280"/>
      <c r="X475" s="280"/>
      <c r="Y475" s="280"/>
      <c r="Z475" s="280"/>
      <c r="AA475" s="280"/>
      <c r="AB475" s="280"/>
      <c r="AC475" s="280"/>
      <c r="AD475" s="280"/>
      <c r="AE475" s="280"/>
      <c r="AF475" s="280"/>
      <c r="AG475" s="280"/>
      <c r="AH475" s="28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0"/>
      <c r="BI475" s="280"/>
      <c r="BJ475" s="280"/>
      <c r="BK475" s="280"/>
      <c r="BL475" s="280"/>
      <c r="BM475" s="280"/>
      <c r="BN475" s="280"/>
      <c r="BO475" s="280"/>
      <c r="BP475" s="280"/>
      <c r="BQ475" s="280"/>
      <c r="BR475" s="280"/>
      <c r="BS475" s="280"/>
      <c r="BT475" s="280"/>
      <c r="BU475" s="280"/>
      <c r="BV475" s="280"/>
    </row>
    <row r="476" spans="2:74" x14ac:dyDescent="0.2">
      <c r="B476" s="280"/>
      <c r="D476" s="280"/>
      <c r="E476" s="280"/>
      <c r="F476" s="280"/>
      <c r="G476" s="280"/>
      <c r="H476" s="280"/>
      <c r="I476" s="280"/>
      <c r="J476" s="280"/>
      <c r="K476" s="280"/>
      <c r="L476" s="280"/>
      <c r="M476" s="280"/>
      <c r="N476" s="280"/>
      <c r="O476" s="280"/>
      <c r="P476" s="280"/>
      <c r="Q476" s="280"/>
      <c r="R476" s="280"/>
      <c r="S476" s="280"/>
      <c r="T476" s="280"/>
      <c r="U476" s="280"/>
      <c r="V476" s="280"/>
      <c r="W476" s="280"/>
      <c r="X476" s="280"/>
      <c r="Y476" s="280"/>
      <c r="Z476" s="280"/>
      <c r="AA476" s="280"/>
      <c r="AB476" s="280"/>
      <c r="AC476" s="280"/>
      <c r="AD476" s="280"/>
      <c r="AE476" s="280"/>
      <c r="AF476" s="280"/>
      <c r="AG476" s="280"/>
      <c r="AH476" s="280"/>
      <c r="AI476" s="280"/>
      <c r="AJ476" s="280"/>
      <c r="AK476" s="280"/>
      <c r="AL476" s="280"/>
      <c r="AM476" s="280"/>
      <c r="AN476" s="280"/>
      <c r="AO476" s="280"/>
      <c r="AP476" s="280"/>
      <c r="AQ476" s="280"/>
      <c r="AR476" s="280"/>
      <c r="AS476" s="280"/>
      <c r="AT476" s="280"/>
      <c r="AU476" s="280"/>
      <c r="AV476" s="280"/>
      <c r="AW476" s="280"/>
      <c r="AX476" s="280"/>
      <c r="AY476" s="280"/>
      <c r="AZ476" s="280"/>
      <c r="BA476" s="280"/>
      <c r="BB476" s="280"/>
      <c r="BC476" s="280"/>
      <c r="BD476" s="280"/>
      <c r="BE476" s="280"/>
      <c r="BF476" s="280"/>
      <c r="BG476" s="280"/>
      <c r="BH476" s="280"/>
      <c r="BI476" s="280"/>
      <c r="BJ476" s="280"/>
      <c r="BK476" s="280"/>
      <c r="BL476" s="280"/>
      <c r="BM476" s="280"/>
      <c r="BN476" s="280"/>
      <c r="BO476" s="280"/>
      <c r="BP476" s="280"/>
      <c r="BQ476" s="280"/>
      <c r="BR476" s="280"/>
      <c r="BS476" s="280"/>
      <c r="BT476" s="280"/>
      <c r="BU476" s="280"/>
      <c r="BV476" s="280"/>
    </row>
    <row r="477" spans="2:74" x14ac:dyDescent="0.2">
      <c r="B477" s="280"/>
      <c r="D477" s="280"/>
      <c r="E477" s="280"/>
      <c r="F477" s="280"/>
      <c r="G477" s="280"/>
      <c r="H477" s="280"/>
      <c r="I477" s="280"/>
      <c r="J477" s="280"/>
      <c r="K477" s="280"/>
      <c r="L477" s="280"/>
      <c r="M477" s="280"/>
      <c r="N477" s="280"/>
      <c r="O477" s="280"/>
      <c r="P477" s="280"/>
      <c r="Q477" s="280"/>
      <c r="R477" s="280"/>
      <c r="S477" s="280"/>
      <c r="T477" s="280"/>
      <c r="U477" s="280"/>
      <c r="V477" s="280"/>
      <c r="W477" s="280"/>
      <c r="X477" s="280"/>
      <c r="Y477" s="280"/>
      <c r="Z477" s="280"/>
      <c r="AA477" s="280"/>
      <c r="AB477" s="280"/>
      <c r="AC477" s="280"/>
      <c r="AD477" s="280"/>
      <c r="AE477" s="280"/>
      <c r="AF477" s="280"/>
      <c r="AG477" s="280"/>
      <c r="AH477" s="280"/>
      <c r="AI477" s="280"/>
      <c r="AJ477" s="280"/>
      <c r="AK477" s="280"/>
      <c r="AL477" s="280"/>
      <c r="AM477" s="280"/>
      <c r="AN477" s="280"/>
      <c r="AO477" s="280"/>
      <c r="AP477" s="280"/>
      <c r="AQ477" s="280"/>
      <c r="AR477" s="280"/>
      <c r="AS477" s="280"/>
      <c r="AT477" s="280"/>
      <c r="AU477" s="280"/>
      <c r="AV477" s="280"/>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row>
    <row r="478" spans="2:74" x14ac:dyDescent="0.2">
      <c r="B478" s="280"/>
      <c r="D478" s="280"/>
      <c r="E478" s="280"/>
      <c r="F478" s="280"/>
      <c r="G478" s="280"/>
      <c r="H478" s="280"/>
      <c r="I478" s="280"/>
      <c r="J478" s="280"/>
      <c r="K478" s="280"/>
      <c r="L478" s="280"/>
      <c r="M478" s="280"/>
      <c r="N478" s="280"/>
      <c r="O478" s="280"/>
      <c r="P478" s="280"/>
      <c r="Q478" s="280"/>
      <c r="R478" s="280"/>
      <c r="S478" s="280"/>
      <c r="T478" s="280"/>
      <c r="U478" s="280"/>
      <c r="V478" s="280"/>
      <c r="W478" s="280"/>
      <c r="X478" s="280"/>
      <c r="Y478" s="280"/>
      <c r="Z478" s="280"/>
      <c r="AA478" s="280"/>
      <c r="AB478" s="280"/>
      <c r="AC478" s="280"/>
      <c r="AD478" s="280"/>
      <c r="AE478" s="280"/>
      <c r="AF478" s="280"/>
      <c r="AG478" s="280"/>
      <c r="AH478" s="280"/>
      <c r="AI478" s="280"/>
      <c r="AJ478" s="280"/>
      <c r="AK478" s="280"/>
      <c r="AL478" s="280"/>
      <c r="AM478" s="280"/>
      <c r="AN478" s="280"/>
      <c r="AO478" s="280"/>
      <c r="AP478" s="280"/>
      <c r="AQ478" s="280"/>
      <c r="AR478" s="280"/>
      <c r="AS478" s="280"/>
      <c r="AT478" s="280"/>
      <c r="AU478" s="280"/>
      <c r="AV478" s="280"/>
      <c r="AW478" s="280"/>
      <c r="AX478" s="280"/>
      <c r="AY478" s="280"/>
      <c r="AZ478" s="280"/>
      <c r="BA478" s="280"/>
      <c r="BB478" s="280"/>
      <c r="BC478" s="280"/>
      <c r="BD478" s="280"/>
      <c r="BE478" s="280"/>
      <c r="BF478" s="280"/>
      <c r="BG478" s="280"/>
      <c r="BH478" s="280"/>
      <c r="BI478" s="280"/>
      <c r="BJ478" s="280"/>
      <c r="BK478" s="280"/>
      <c r="BL478" s="280"/>
      <c r="BM478" s="280"/>
      <c r="BN478" s="280"/>
      <c r="BO478" s="280"/>
      <c r="BP478" s="280"/>
      <c r="BQ478" s="280"/>
      <c r="BR478" s="280"/>
      <c r="BS478" s="280"/>
      <c r="BT478" s="280"/>
      <c r="BU478" s="280"/>
      <c r="BV478" s="280"/>
    </row>
    <row r="479" spans="2:74" x14ac:dyDescent="0.2">
      <c r="B479" s="280"/>
      <c r="D479" s="280"/>
      <c r="E479" s="280"/>
      <c r="F479" s="280"/>
      <c r="G479" s="280"/>
      <c r="H479" s="280"/>
      <c r="I479" s="280"/>
      <c r="J479" s="280"/>
      <c r="K479" s="280"/>
      <c r="L479" s="280"/>
      <c r="M479" s="280"/>
      <c r="N479" s="280"/>
      <c r="O479" s="280"/>
      <c r="P479" s="280"/>
      <c r="Q479" s="280"/>
      <c r="R479" s="280"/>
      <c r="S479" s="280"/>
      <c r="T479" s="280"/>
      <c r="U479" s="280"/>
      <c r="V479" s="280"/>
      <c r="W479" s="280"/>
      <c r="X479" s="280"/>
      <c r="Y479" s="280"/>
      <c r="Z479" s="280"/>
      <c r="AA479" s="280"/>
      <c r="AB479" s="280"/>
      <c r="AC479" s="280"/>
      <c r="AD479" s="280"/>
      <c r="AE479" s="280"/>
      <c r="AF479" s="280"/>
      <c r="AG479" s="280"/>
      <c r="AH479" s="280"/>
      <c r="AI479" s="280"/>
      <c r="AJ479" s="280"/>
      <c r="AK479" s="280"/>
      <c r="AL479" s="280"/>
      <c r="AM479" s="280"/>
      <c r="AN479" s="280"/>
      <c r="AO479" s="280"/>
      <c r="AP479" s="280"/>
      <c r="AQ479" s="280"/>
      <c r="AR479" s="280"/>
      <c r="AS479" s="280"/>
      <c r="AT479" s="280"/>
      <c r="AU479" s="280"/>
      <c r="AV479" s="280"/>
      <c r="AW479" s="280"/>
      <c r="AX479" s="280"/>
      <c r="AY479" s="280"/>
      <c r="AZ479" s="280"/>
      <c r="BA479" s="280"/>
      <c r="BB479" s="280"/>
      <c r="BC479" s="280"/>
      <c r="BD479" s="280"/>
      <c r="BE479" s="280"/>
      <c r="BF479" s="280"/>
      <c r="BG479" s="280"/>
      <c r="BH479" s="280"/>
      <c r="BI479" s="280"/>
      <c r="BJ479" s="280"/>
      <c r="BK479" s="280"/>
      <c r="BL479" s="280"/>
      <c r="BM479" s="280"/>
      <c r="BN479" s="280"/>
      <c r="BO479" s="280"/>
      <c r="BP479" s="280"/>
      <c r="BQ479" s="280"/>
      <c r="BR479" s="280"/>
      <c r="BS479" s="280"/>
      <c r="BT479" s="280"/>
      <c r="BU479" s="280"/>
      <c r="BV479" s="280"/>
    </row>
    <row r="480" spans="2:74" x14ac:dyDescent="0.2">
      <c r="B480" s="280"/>
      <c r="D480" s="280"/>
      <c r="E480" s="280"/>
      <c r="F480" s="280"/>
      <c r="G480" s="280"/>
      <c r="H480" s="280"/>
      <c r="I480" s="280"/>
      <c r="J480" s="280"/>
      <c r="K480" s="280"/>
      <c r="L480" s="280"/>
      <c r="M480" s="280"/>
      <c r="N480" s="280"/>
      <c r="O480" s="280"/>
      <c r="P480" s="280"/>
      <c r="Q480" s="280"/>
      <c r="R480" s="280"/>
      <c r="S480" s="280"/>
      <c r="T480" s="280"/>
      <c r="U480" s="280"/>
      <c r="V480" s="280"/>
      <c r="W480" s="280"/>
      <c r="X480" s="280"/>
      <c r="Y480" s="280"/>
      <c r="Z480" s="280"/>
      <c r="AA480" s="280"/>
      <c r="AB480" s="280"/>
      <c r="AC480" s="280"/>
      <c r="AD480" s="280"/>
      <c r="AE480" s="280"/>
      <c r="AF480" s="280"/>
      <c r="AG480" s="280"/>
      <c r="AH480" s="280"/>
      <c r="AI480" s="280"/>
      <c r="AJ480" s="280"/>
      <c r="AK480" s="280"/>
      <c r="AL480" s="280"/>
      <c r="AM480" s="280"/>
      <c r="AN480" s="280"/>
      <c r="AO480" s="280"/>
      <c r="AP480" s="280"/>
      <c r="AQ480" s="280"/>
      <c r="AR480" s="280"/>
      <c r="AS480" s="280"/>
      <c r="AT480" s="280"/>
      <c r="AU480" s="280"/>
      <c r="AV480" s="280"/>
      <c r="AW480" s="280"/>
      <c r="AX480" s="280"/>
      <c r="AY480" s="280"/>
      <c r="AZ480" s="280"/>
      <c r="BA480" s="280"/>
      <c r="BB480" s="280"/>
      <c r="BC480" s="280"/>
      <c r="BD480" s="280"/>
      <c r="BE480" s="280"/>
      <c r="BF480" s="280"/>
      <c r="BG480" s="280"/>
      <c r="BH480" s="280"/>
      <c r="BI480" s="280"/>
      <c r="BJ480" s="280"/>
      <c r="BK480" s="280"/>
      <c r="BL480" s="280"/>
      <c r="BM480" s="280"/>
      <c r="BN480" s="280"/>
      <c r="BO480" s="280"/>
      <c r="BP480" s="280"/>
      <c r="BQ480" s="280"/>
      <c r="BR480" s="280"/>
      <c r="BS480" s="280"/>
      <c r="BT480" s="280"/>
      <c r="BU480" s="280"/>
      <c r="BV480" s="280"/>
    </row>
    <row r="481" spans="2:74" x14ac:dyDescent="0.2">
      <c r="B481" s="280"/>
      <c r="D481" s="280"/>
      <c r="E481" s="280"/>
      <c r="F481" s="280"/>
      <c r="G481" s="280"/>
      <c r="H481" s="280"/>
      <c r="I481" s="280"/>
      <c r="J481" s="280"/>
      <c r="K481" s="280"/>
      <c r="L481" s="280"/>
      <c r="M481" s="280"/>
      <c r="N481" s="280"/>
      <c r="O481" s="280"/>
      <c r="P481" s="280"/>
      <c r="Q481" s="280"/>
      <c r="R481" s="280"/>
      <c r="S481" s="280"/>
      <c r="T481" s="280"/>
      <c r="U481" s="280"/>
      <c r="V481" s="280"/>
      <c r="W481" s="280"/>
      <c r="X481" s="280"/>
      <c r="Y481" s="280"/>
      <c r="Z481" s="280"/>
      <c r="AA481" s="280"/>
      <c r="AB481" s="280"/>
      <c r="AC481" s="280"/>
      <c r="AD481" s="280"/>
      <c r="AE481" s="280"/>
      <c r="AF481" s="280"/>
      <c r="AG481" s="280"/>
      <c r="AH481" s="280"/>
      <c r="AI481" s="280"/>
      <c r="AJ481" s="280"/>
      <c r="AK481" s="280"/>
      <c r="AL481" s="280"/>
      <c r="AM481" s="280"/>
      <c r="AN481" s="280"/>
      <c r="AO481" s="280"/>
      <c r="AP481" s="280"/>
      <c r="AQ481" s="280"/>
      <c r="AR481" s="280"/>
      <c r="AS481" s="280"/>
      <c r="AT481" s="280"/>
      <c r="AU481" s="280"/>
      <c r="AV481" s="280"/>
      <c r="AW481" s="280"/>
      <c r="AX481" s="280"/>
      <c r="AY481" s="280"/>
      <c r="AZ481" s="280"/>
      <c r="BA481" s="280"/>
      <c r="BB481" s="280"/>
      <c r="BC481" s="280"/>
      <c r="BD481" s="280"/>
      <c r="BE481" s="280"/>
      <c r="BF481" s="280"/>
      <c r="BG481" s="280"/>
      <c r="BH481" s="280"/>
      <c r="BI481" s="280"/>
      <c r="BJ481" s="280"/>
      <c r="BK481" s="280"/>
      <c r="BL481" s="280"/>
      <c r="BM481" s="280"/>
      <c r="BN481" s="280"/>
      <c r="BO481" s="280"/>
      <c r="BP481" s="280"/>
      <c r="BQ481" s="280"/>
      <c r="BR481" s="280"/>
      <c r="BS481" s="280"/>
      <c r="BT481" s="280"/>
      <c r="BU481" s="280"/>
      <c r="BV481" s="280"/>
    </row>
    <row r="482" spans="2:74" x14ac:dyDescent="0.2">
      <c r="B482" s="280"/>
      <c r="D482" s="280"/>
      <c r="E482" s="280"/>
      <c r="F482" s="280"/>
      <c r="G482" s="280"/>
      <c r="H482" s="280"/>
      <c r="I482" s="280"/>
      <c r="J482" s="280"/>
      <c r="K482" s="280"/>
      <c r="L482" s="280"/>
      <c r="M482" s="280"/>
      <c r="N482" s="280"/>
      <c r="O482" s="280"/>
      <c r="P482" s="280"/>
      <c r="Q482" s="280"/>
      <c r="R482" s="280"/>
      <c r="S482" s="280"/>
      <c r="T482" s="280"/>
      <c r="U482" s="280"/>
      <c r="V482" s="280"/>
      <c r="W482" s="280"/>
      <c r="X482" s="280"/>
      <c r="Y482" s="280"/>
      <c r="Z482" s="280"/>
      <c r="AA482" s="280"/>
      <c r="AB482" s="280"/>
      <c r="AC482" s="280"/>
      <c r="AD482" s="280"/>
      <c r="AE482" s="280"/>
      <c r="AF482" s="280"/>
      <c r="AG482" s="280"/>
      <c r="AH482" s="280"/>
      <c r="AI482" s="280"/>
      <c r="AJ482" s="280"/>
      <c r="AK482" s="280"/>
      <c r="AL482" s="280"/>
      <c r="AM482" s="280"/>
      <c r="AN482" s="280"/>
      <c r="AO482" s="280"/>
      <c r="AP482" s="280"/>
      <c r="AQ482" s="280"/>
      <c r="AR482" s="280"/>
      <c r="AS482" s="280"/>
      <c r="AT482" s="280"/>
      <c r="AU482" s="280"/>
      <c r="AV482" s="280"/>
      <c r="AW482" s="280"/>
      <c r="AX482" s="280"/>
      <c r="AY482" s="280"/>
      <c r="AZ482" s="280"/>
      <c r="BA482" s="280"/>
      <c r="BB482" s="280"/>
      <c r="BC482" s="280"/>
      <c r="BD482" s="280"/>
      <c r="BE482" s="280"/>
      <c r="BF482" s="280"/>
      <c r="BG482" s="280"/>
      <c r="BH482" s="280"/>
      <c r="BI482" s="280"/>
      <c r="BJ482" s="280"/>
      <c r="BK482" s="280"/>
      <c r="BL482" s="280"/>
      <c r="BM482" s="280"/>
      <c r="BN482" s="280"/>
      <c r="BO482" s="280"/>
      <c r="BP482" s="280"/>
      <c r="BQ482" s="280"/>
      <c r="BR482" s="280"/>
      <c r="BS482" s="280"/>
      <c r="BT482" s="280"/>
      <c r="BU482" s="280"/>
      <c r="BV482" s="280"/>
    </row>
    <row r="483" spans="2:74" x14ac:dyDescent="0.2">
      <c r="B483" s="280"/>
      <c r="D483" s="280"/>
      <c r="E483" s="280"/>
      <c r="F483" s="280"/>
      <c r="G483" s="280"/>
      <c r="H483" s="280"/>
      <c r="I483" s="280"/>
      <c r="J483" s="280"/>
      <c r="K483" s="280"/>
      <c r="L483" s="280"/>
      <c r="M483" s="280"/>
      <c r="N483" s="280"/>
      <c r="O483" s="280"/>
      <c r="P483" s="280"/>
      <c r="Q483" s="280"/>
      <c r="R483" s="280"/>
      <c r="S483" s="280"/>
      <c r="T483" s="280"/>
      <c r="U483" s="280"/>
      <c r="V483" s="280"/>
      <c r="W483" s="280"/>
      <c r="X483" s="280"/>
      <c r="Y483" s="280"/>
      <c r="Z483" s="280"/>
      <c r="AA483" s="280"/>
      <c r="AB483" s="280"/>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c r="BO483" s="280"/>
      <c r="BP483" s="280"/>
      <c r="BQ483" s="280"/>
      <c r="BR483" s="280"/>
      <c r="BS483" s="280"/>
      <c r="BT483" s="280"/>
      <c r="BU483" s="280"/>
      <c r="BV483" s="280"/>
    </row>
    <row r="484" spans="2:74" x14ac:dyDescent="0.2">
      <c r="B484" s="280"/>
      <c r="D484" s="280"/>
      <c r="E484" s="280"/>
      <c r="F484" s="280"/>
      <c r="G484" s="280"/>
      <c r="H484" s="280"/>
      <c r="I484" s="280"/>
      <c r="J484" s="280"/>
      <c r="K484" s="280"/>
      <c r="L484" s="280"/>
      <c r="M484" s="280"/>
      <c r="N484" s="280"/>
      <c r="O484" s="280"/>
      <c r="P484" s="280"/>
      <c r="Q484" s="280"/>
      <c r="R484" s="280"/>
      <c r="S484" s="280"/>
      <c r="T484" s="280"/>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0"/>
      <c r="AY484" s="280"/>
      <c r="AZ484" s="280"/>
      <c r="BA484" s="280"/>
      <c r="BB484" s="280"/>
      <c r="BC484" s="280"/>
      <c r="BD484" s="280"/>
      <c r="BE484" s="280"/>
      <c r="BF484" s="280"/>
      <c r="BG484" s="280"/>
      <c r="BH484" s="280"/>
      <c r="BI484" s="280"/>
      <c r="BJ484" s="280"/>
      <c r="BK484" s="280"/>
      <c r="BL484" s="280"/>
      <c r="BM484" s="280"/>
      <c r="BN484" s="280"/>
      <c r="BO484" s="280"/>
      <c r="BP484" s="280"/>
      <c r="BQ484" s="280"/>
      <c r="BR484" s="280"/>
      <c r="BS484" s="280"/>
      <c r="BT484" s="280"/>
      <c r="BU484" s="280"/>
      <c r="BV484" s="280"/>
    </row>
    <row r="485" spans="2:74" x14ac:dyDescent="0.2">
      <c r="B485" s="280"/>
      <c r="D485" s="280"/>
      <c r="E485" s="280"/>
      <c r="F485" s="280"/>
      <c r="G485" s="280"/>
      <c r="H485" s="280"/>
      <c r="I485" s="280"/>
      <c r="J485" s="280"/>
      <c r="K485" s="280"/>
      <c r="L485" s="280"/>
      <c r="M485" s="280"/>
      <c r="N485" s="280"/>
      <c r="O485" s="280"/>
      <c r="P485" s="280"/>
      <c r="Q485" s="280"/>
      <c r="R485" s="280"/>
      <c r="S485" s="280"/>
      <c r="T485" s="280"/>
      <c r="U485" s="280"/>
      <c r="V485" s="280"/>
      <c r="W485" s="280"/>
      <c r="X485" s="280"/>
      <c r="Y485" s="280"/>
      <c r="Z485" s="280"/>
      <c r="AA485" s="280"/>
      <c r="AB485" s="280"/>
      <c r="AC485" s="280"/>
      <c r="AD485" s="280"/>
      <c r="AE485" s="280"/>
      <c r="AF485" s="280"/>
      <c r="AG485" s="280"/>
      <c r="AH485" s="280"/>
      <c r="AI485" s="280"/>
      <c r="AJ485" s="280"/>
      <c r="AK485" s="280"/>
      <c r="AL485" s="280"/>
      <c r="AM485" s="280"/>
      <c r="AN485" s="280"/>
      <c r="AO485" s="280"/>
      <c r="AP485" s="280"/>
      <c r="AQ485" s="280"/>
      <c r="AR485" s="280"/>
      <c r="AS485" s="280"/>
      <c r="AT485" s="280"/>
      <c r="AU485" s="280"/>
      <c r="AV485" s="280"/>
      <c r="AW485" s="280"/>
      <c r="AX485" s="280"/>
      <c r="AY485" s="280"/>
      <c r="AZ485" s="280"/>
      <c r="BA485" s="280"/>
      <c r="BB485" s="280"/>
      <c r="BC485" s="280"/>
      <c r="BD485" s="280"/>
      <c r="BE485" s="280"/>
      <c r="BF485" s="280"/>
      <c r="BG485" s="280"/>
      <c r="BH485" s="280"/>
      <c r="BI485" s="280"/>
      <c r="BJ485" s="280"/>
      <c r="BK485" s="280"/>
      <c r="BL485" s="280"/>
      <c r="BM485" s="280"/>
      <c r="BN485" s="280"/>
      <c r="BO485" s="280"/>
      <c r="BP485" s="280"/>
      <c r="BQ485" s="280"/>
      <c r="BR485" s="280"/>
      <c r="BS485" s="280"/>
      <c r="BT485" s="280"/>
      <c r="BU485" s="280"/>
      <c r="BV485" s="280"/>
    </row>
    <row r="486" spans="2:74" x14ac:dyDescent="0.2">
      <c r="B486" s="280"/>
      <c r="D486" s="280"/>
      <c r="E486" s="280"/>
      <c r="F486" s="280"/>
      <c r="G486" s="280"/>
      <c r="H486" s="280"/>
      <c r="I486" s="280"/>
      <c r="J486" s="280"/>
      <c r="K486" s="280"/>
      <c r="L486" s="280"/>
      <c r="M486" s="280"/>
      <c r="N486" s="280"/>
      <c r="O486" s="280"/>
      <c r="P486" s="280"/>
      <c r="Q486" s="280"/>
      <c r="R486" s="280"/>
      <c r="S486" s="280"/>
      <c r="T486" s="280"/>
      <c r="U486" s="280"/>
      <c r="V486" s="280"/>
      <c r="W486" s="280"/>
      <c r="X486" s="280"/>
      <c r="Y486" s="280"/>
      <c r="Z486" s="280"/>
      <c r="AA486" s="280"/>
      <c r="AB486" s="280"/>
      <c r="AC486" s="280"/>
      <c r="AD486" s="280"/>
      <c r="AE486" s="280"/>
      <c r="AF486" s="280"/>
      <c r="AG486" s="280"/>
      <c r="AH486" s="280"/>
      <c r="AI486" s="280"/>
      <c r="AJ486" s="280"/>
      <c r="AK486" s="280"/>
      <c r="AL486" s="280"/>
      <c r="AM486" s="280"/>
      <c r="AN486" s="280"/>
      <c r="AO486" s="280"/>
      <c r="AP486" s="280"/>
      <c r="AQ486" s="280"/>
      <c r="AR486" s="280"/>
      <c r="AS486" s="280"/>
      <c r="AT486" s="280"/>
      <c r="AU486" s="280"/>
      <c r="AV486" s="280"/>
      <c r="AW486" s="280"/>
      <c r="AX486" s="280"/>
      <c r="AY486" s="280"/>
      <c r="AZ486" s="280"/>
      <c r="BA486" s="280"/>
      <c r="BB486" s="280"/>
      <c r="BC486" s="280"/>
      <c r="BD486" s="280"/>
      <c r="BE486" s="280"/>
      <c r="BF486" s="280"/>
      <c r="BG486" s="280"/>
      <c r="BH486" s="280"/>
      <c r="BI486" s="280"/>
      <c r="BJ486" s="280"/>
      <c r="BK486" s="280"/>
      <c r="BL486" s="280"/>
      <c r="BM486" s="280"/>
      <c r="BN486" s="280"/>
      <c r="BO486" s="280"/>
      <c r="BP486" s="280"/>
      <c r="BQ486" s="280"/>
      <c r="BR486" s="280"/>
      <c r="BS486" s="280"/>
      <c r="BT486" s="280"/>
      <c r="BU486" s="280"/>
      <c r="BV486" s="280"/>
    </row>
    <row r="487" spans="2:74" x14ac:dyDescent="0.2">
      <c r="B487" s="280"/>
      <c r="D487" s="280"/>
      <c r="E487" s="280"/>
      <c r="F487" s="280"/>
      <c r="G487" s="280"/>
      <c r="H487" s="280"/>
      <c r="I487" s="280"/>
      <c r="J487" s="280"/>
      <c r="K487" s="280"/>
      <c r="L487" s="280"/>
      <c r="M487" s="280"/>
      <c r="N487" s="280"/>
      <c r="O487" s="280"/>
      <c r="P487" s="280"/>
      <c r="Q487" s="280"/>
      <c r="R487" s="280"/>
      <c r="S487" s="280"/>
      <c r="T487" s="280"/>
      <c r="U487" s="280"/>
      <c r="V487" s="280"/>
      <c r="W487" s="280"/>
      <c r="X487" s="280"/>
      <c r="Y487" s="280"/>
      <c r="Z487" s="280"/>
      <c r="AA487" s="280"/>
      <c r="AB487" s="280"/>
      <c r="AC487" s="280"/>
      <c r="AD487" s="280"/>
      <c r="AE487" s="280"/>
      <c r="AF487" s="280"/>
      <c r="AG487" s="280"/>
      <c r="AH487" s="280"/>
      <c r="AI487" s="280"/>
      <c r="AJ487" s="280"/>
      <c r="AK487" s="280"/>
      <c r="AL487" s="280"/>
      <c r="AM487" s="280"/>
      <c r="AN487" s="280"/>
      <c r="AO487" s="280"/>
      <c r="AP487" s="280"/>
      <c r="AQ487" s="280"/>
      <c r="AR487" s="280"/>
      <c r="AS487" s="280"/>
      <c r="AT487" s="280"/>
      <c r="AU487" s="280"/>
      <c r="AV487" s="280"/>
      <c r="AW487" s="280"/>
      <c r="AX487" s="280"/>
      <c r="AY487" s="280"/>
      <c r="AZ487" s="280"/>
      <c r="BA487" s="280"/>
      <c r="BB487" s="280"/>
      <c r="BC487" s="280"/>
      <c r="BD487" s="280"/>
      <c r="BE487" s="280"/>
      <c r="BF487" s="280"/>
      <c r="BG487" s="280"/>
      <c r="BH487" s="280"/>
      <c r="BI487" s="280"/>
      <c r="BJ487" s="280"/>
      <c r="BK487" s="280"/>
      <c r="BL487" s="280"/>
      <c r="BM487" s="280"/>
      <c r="BN487" s="280"/>
      <c r="BO487" s="280"/>
      <c r="BP487" s="280"/>
      <c r="BQ487" s="280"/>
      <c r="BR487" s="280"/>
      <c r="BS487" s="280"/>
      <c r="BT487" s="280"/>
      <c r="BU487" s="280"/>
      <c r="BV487" s="280"/>
    </row>
    <row r="488" spans="2:74" x14ac:dyDescent="0.2">
      <c r="B488" s="280"/>
      <c r="D488" s="280"/>
      <c r="E488" s="280"/>
      <c r="F488" s="280"/>
      <c r="G488" s="280"/>
      <c r="H488" s="280"/>
      <c r="I488" s="280"/>
      <c r="J488" s="280"/>
      <c r="K488" s="280"/>
      <c r="L488" s="280"/>
      <c r="M488" s="280"/>
      <c r="N488" s="280"/>
      <c r="O488" s="280"/>
      <c r="P488" s="280"/>
      <c r="Q488" s="280"/>
      <c r="R488" s="280"/>
      <c r="S488" s="280"/>
      <c r="T488" s="280"/>
      <c r="U488" s="280"/>
      <c r="V488" s="280"/>
      <c r="W488" s="280"/>
      <c r="X488" s="280"/>
      <c r="Y488" s="280"/>
      <c r="Z488" s="280"/>
      <c r="AA488" s="280"/>
      <c r="AB488" s="280"/>
      <c r="AC488" s="280"/>
      <c r="AD488" s="280"/>
      <c r="AE488" s="280"/>
      <c r="AF488" s="280"/>
      <c r="AG488" s="280"/>
      <c r="AH488" s="280"/>
      <c r="AI488" s="280"/>
      <c r="AJ488" s="280"/>
      <c r="AK488" s="280"/>
      <c r="AL488" s="280"/>
      <c r="AM488" s="280"/>
      <c r="AN488" s="280"/>
      <c r="AO488" s="280"/>
      <c r="AP488" s="280"/>
      <c r="AQ488" s="280"/>
      <c r="AR488" s="280"/>
      <c r="AS488" s="280"/>
      <c r="AT488" s="280"/>
      <c r="AU488" s="280"/>
      <c r="AV488" s="280"/>
      <c r="AW488" s="280"/>
      <c r="AX488" s="280"/>
      <c r="AY488" s="280"/>
      <c r="AZ488" s="280"/>
      <c r="BA488" s="280"/>
      <c r="BB488" s="280"/>
      <c r="BC488" s="280"/>
      <c r="BD488" s="280"/>
      <c r="BE488" s="280"/>
      <c r="BF488" s="280"/>
      <c r="BG488" s="280"/>
      <c r="BH488" s="280"/>
      <c r="BI488" s="280"/>
      <c r="BJ488" s="280"/>
      <c r="BK488" s="280"/>
      <c r="BL488" s="280"/>
      <c r="BM488" s="280"/>
      <c r="BN488" s="280"/>
      <c r="BO488" s="280"/>
      <c r="BP488" s="280"/>
      <c r="BQ488" s="280"/>
      <c r="BR488" s="280"/>
      <c r="BS488" s="280"/>
      <c r="BT488" s="280"/>
      <c r="BU488" s="280"/>
      <c r="BV488" s="280"/>
    </row>
    <row r="489" spans="2:74" x14ac:dyDescent="0.2">
      <c r="B489" s="280"/>
      <c r="D489" s="280"/>
      <c r="E489" s="280"/>
      <c r="F489" s="280"/>
      <c r="G489" s="280"/>
      <c r="H489" s="280"/>
      <c r="I489" s="280"/>
      <c r="J489" s="280"/>
      <c r="K489" s="280"/>
      <c r="L489" s="280"/>
      <c r="M489" s="280"/>
      <c r="N489" s="280"/>
      <c r="O489" s="280"/>
      <c r="P489" s="280"/>
      <c r="Q489" s="280"/>
      <c r="R489" s="280"/>
      <c r="S489" s="280"/>
      <c r="T489" s="280"/>
      <c r="U489" s="280"/>
      <c r="V489" s="280"/>
      <c r="W489" s="280"/>
      <c r="X489" s="280"/>
      <c r="Y489" s="280"/>
      <c r="Z489" s="280"/>
      <c r="AA489" s="280"/>
      <c r="AB489" s="280"/>
      <c r="AC489" s="280"/>
      <c r="AD489" s="280"/>
      <c r="AE489" s="280"/>
      <c r="AF489" s="280"/>
      <c r="AG489" s="280"/>
      <c r="AH489" s="280"/>
      <c r="AI489" s="280"/>
      <c r="AJ489" s="280"/>
      <c r="AK489" s="280"/>
      <c r="AL489" s="280"/>
      <c r="AM489" s="280"/>
      <c r="AN489" s="280"/>
      <c r="AO489" s="280"/>
      <c r="AP489" s="280"/>
      <c r="AQ489" s="280"/>
      <c r="AR489" s="280"/>
      <c r="AS489" s="280"/>
      <c r="AT489" s="280"/>
      <c r="AU489" s="280"/>
      <c r="AV489" s="280"/>
      <c r="AW489" s="280"/>
      <c r="AX489" s="280"/>
      <c r="AY489" s="280"/>
      <c r="AZ489" s="280"/>
      <c r="BA489" s="280"/>
      <c r="BB489" s="280"/>
      <c r="BC489" s="280"/>
      <c r="BD489" s="280"/>
      <c r="BE489" s="280"/>
      <c r="BF489" s="280"/>
      <c r="BG489" s="280"/>
      <c r="BH489" s="280"/>
      <c r="BI489" s="280"/>
      <c r="BJ489" s="280"/>
      <c r="BK489" s="280"/>
      <c r="BL489" s="280"/>
      <c r="BM489" s="280"/>
      <c r="BN489" s="280"/>
      <c r="BO489" s="280"/>
      <c r="BP489" s="280"/>
      <c r="BQ489" s="280"/>
      <c r="BR489" s="280"/>
      <c r="BS489" s="280"/>
      <c r="BT489" s="280"/>
      <c r="BU489" s="280"/>
      <c r="BV489" s="280"/>
    </row>
    <row r="490" spans="2:74" x14ac:dyDescent="0.2">
      <c r="B490" s="280"/>
      <c r="D490" s="280"/>
      <c r="E490" s="280"/>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0"/>
      <c r="AB490" s="280"/>
      <c r="AC490" s="280"/>
      <c r="AD490" s="280"/>
      <c r="AE490" s="280"/>
      <c r="AF490" s="280"/>
      <c r="AG490" s="280"/>
      <c r="AH490" s="280"/>
      <c r="AI490" s="280"/>
      <c r="AJ490" s="280"/>
      <c r="AK490" s="280"/>
      <c r="AL490" s="280"/>
      <c r="AM490" s="280"/>
      <c r="AN490" s="280"/>
      <c r="AO490" s="280"/>
      <c r="AP490" s="280"/>
      <c r="AQ490" s="280"/>
      <c r="AR490" s="280"/>
      <c r="AS490" s="280"/>
      <c r="AT490" s="280"/>
      <c r="AU490" s="280"/>
      <c r="AV490" s="280"/>
      <c r="AW490" s="280"/>
      <c r="AX490" s="280"/>
      <c r="AY490" s="280"/>
      <c r="AZ490" s="280"/>
      <c r="BA490" s="280"/>
      <c r="BB490" s="280"/>
      <c r="BC490" s="280"/>
      <c r="BD490" s="280"/>
      <c r="BE490" s="280"/>
      <c r="BF490" s="280"/>
      <c r="BG490" s="280"/>
      <c r="BH490" s="280"/>
      <c r="BI490" s="280"/>
      <c r="BJ490" s="280"/>
      <c r="BK490" s="280"/>
      <c r="BL490" s="280"/>
      <c r="BM490" s="280"/>
      <c r="BN490" s="280"/>
      <c r="BO490" s="280"/>
      <c r="BP490" s="280"/>
      <c r="BQ490" s="280"/>
      <c r="BR490" s="280"/>
      <c r="BS490" s="280"/>
      <c r="BT490" s="280"/>
      <c r="BU490" s="280"/>
      <c r="BV490" s="280"/>
    </row>
    <row r="491" spans="2:74" x14ac:dyDescent="0.2">
      <c r="B491" s="280"/>
      <c r="D491" s="280"/>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c r="AK491" s="280"/>
      <c r="AL491" s="280"/>
      <c r="AM491" s="280"/>
      <c r="AN491" s="280"/>
      <c r="AO491" s="280"/>
      <c r="AP491" s="280"/>
      <c r="AQ491" s="280"/>
      <c r="AR491" s="280"/>
      <c r="AS491" s="280"/>
      <c r="AT491" s="280"/>
      <c r="AU491" s="280"/>
      <c r="AV491" s="280"/>
      <c r="AW491" s="280"/>
      <c r="AX491" s="280"/>
      <c r="AY491" s="280"/>
      <c r="AZ491" s="280"/>
      <c r="BA491" s="280"/>
      <c r="BB491" s="280"/>
      <c r="BC491" s="280"/>
      <c r="BD491" s="280"/>
      <c r="BE491" s="280"/>
      <c r="BF491" s="280"/>
      <c r="BG491" s="280"/>
      <c r="BH491" s="280"/>
      <c r="BI491" s="280"/>
      <c r="BJ491" s="280"/>
      <c r="BK491" s="280"/>
      <c r="BL491" s="280"/>
      <c r="BM491" s="280"/>
      <c r="BN491" s="280"/>
      <c r="BO491" s="280"/>
      <c r="BP491" s="280"/>
      <c r="BQ491" s="280"/>
      <c r="BR491" s="280"/>
      <c r="BS491" s="280"/>
      <c r="BT491" s="280"/>
      <c r="BU491" s="280"/>
      <c r="BV491" s="280"/>
    </row>
    <row r="492" spans="2:74" x14ac:dyDescent="0.2">
      <c r="B492" s="280"/>
      <c r="D492" s="280"/>
      <c r="E492" s="280"/>
      <c r="F492" s="280"/>
      <c r="G492" s="280"/>
      <c r="H492" s="280"/>
      <c r="I492" s="280"/>
      <c r="J492" s="280"/>
      <c r="K492" s="280"/>
      <c r="L492" s="280"/>
      <c r="M492" s="280"/>
      <c r="N492" s="280"/>
      <c r="O492" s="280"/>
      <c r="P492" s="280"/>
      <c r="Q492" s="280"/>
      <c r="R492" s="280"/>
      <c r="S492" s="280"/>
      <c r="T492" s="280"/>
      <c r="U492" s="280"/>
      <c r="V492" s="280"/>
      <c r="W492" s="280"/>
      <c r="X492" s="280"/>
      <c r="Y492" s="280"/>
      <c r="Z492" s="280"/>
      <c r="AA492" s="280"/>
      <c r="AB492" s="280"/>
      <c r="AC492" s="280"/>
      <c r="AD492" s="280"/>
      <c r="AE492" s="280"/>
      <c r="AF492" s="280"/>
      <c r="AG492" s="280"/>
      <c r="AH492" s="280"/>
      <c r="AI492" s="280"/>
      <c r="AJ492" s="280"/>
      <c r="AK492" s="280"/>
      <c r="AL492" s="280"/>
      <c r="AM492" s="280"/>
      <c r="AN492" s="280"/>
      <c r="AO492" s="280"/>
      <c r="AP492" s="280"/>
      <c r="AQ492" s="280"/>
      <c r="AR492" s="280"/>
      <c r="AS492" s="280"/>
      <c r="AT492" s="280"/>
      <c r="AU492" s="280"/>
      <c r="AV492" s="280"/>
      <c r="AW492" s="280"/>
      <c r="AX492" s="280"/>
      <c r="AY492" s="280"/>
      <c r="AZ492" s="280"/>
      <c r="BA492" s="280"/>
      <c r="BB492" s="280"/>
      <c r="BC492" s="280"/>
      <c r="BD492" s="280"/>
      <c r="BE492" s="280"/>
      <c r="BF492" s="280"/>
      <c r="BG492" s="280"/>
      <c r="BH492" s="280"/>
      <c r="BI492" s="280"/>
      <c r="BJ492" s="280"/>
      <c r="BK492" s="280"/>
      <c r="BL492" s="280"/>
      <c r="BM492" s="280"/>
      <c r="BN492" s="280"/>
      <c r="BO492" s="280"/>
      <c r="BP492" s="280"/>
      <c r="BQ492" s="280"/>
      <c r="BR492" s="280"/>
      <c r="BS492" s="280"/>
      <c r="BT492" s="280"/>
      <c r="BU492" s="280"/>
      <c r="BV492" s="280"/>
    </row>
    <row r="493" spans="2:74" x14ac:dyDescent="0.2">
      <c r="B493" s="280"/>
      <c r="D493" s="280"/>
      <c r="E493" s="280"/>
      <c r="F493" s="280"/>
      <c r="G493" s="280"/>
      <c r="H493" s="280"/>
      <c r="I493" s="280"/>
      <c r="J493" s="280"/>
      <c r="K493" s="280"/>
      <c r="L493" s="280"/>
      <c r="M493" s="280"/>
      <c r="N493" s="280"/>
      <c r="O493" s="280"/>
      <c r="P493" s="280"/>
      <c r="Q493" s="280"/>
      <c r="R493" s="280"/>
      <c r="S493" s="280"/>
      <c r="T493" s="280"/>
      <c r="U493" s="280"/>
      <c r="V493" s="280"/>
      <c r="W493" s="280"/>
      <c r="X493" s="280"/>
      <c r="Y493" s="280"/>
      <c r="Z493" s="280"/>
      <c r="AA493" s="280"/>
      <c r="AB493" s="280"/>
      <c r="AC493" s="280"/>
      <c r="AD493" s="280"/>
      <c r="AE493" s="280"/>
      <c r="AF493" s="280"/>
      <c r="AG493" s="280"/>
      <c r="AH493" s="280"/>
      <c r="AI493" s="280"/>
      <c r="AJ493" s="280"/>
      <c r="AK493" s="280"/>
      <c r="AL493" s="280"/>
      <c r="AM493" s="280"/>
      <c r="AN493" s="280"/>
      <c r="AO493" s="280"/>
      <c r="AP493" s="280"/>
      <c r="AQ493" s="280"/>
      <c r="AR493" s="280"/>
      <c r="AS493" s="280"/>
      <c r="AT493" s="280"/>
      <c r="AU493" s="280"/>
      <c r="AV493" s="280"/>
      <c r="AW493" s="280"/>
      <c r="AX493" s="280"/>
      <c r="AY493" s="280"/>
      <c r="AZ493" s="280"/>
      <c r="BA493" s="280"/>
      <c r="BB493" s="280"/>
      <c r="BC493" s="280"/>
      <c r="BD493" s="280"/>
      <c r="BE493" s="280"/>
      <c r="BF493" s="280"/>
      <c r="BG493" s="280"/>
      <c r="BH493" s="280"/>
      <c r="BI493" s="280"/>
      <c r="BJ493" s="280"/>
      <c r="BK493" s="280"/>
      <c r="BL493" s="280"/>
      <c r="BM493" s="280"/>
      <c r="BN493" s="280"/>
      <c r="BO493" s="280"/>
      <c r="BP493" s="280"/>
      <c r="BQ493" s="280"/>
      <c r="BR493" s="280"/>
      <c r="BS493" s="280"/>
      <c r="BT493" s="280"/>
      <c r="BU493" s="280"/>
      <c r="BV493" s="280"/>
    </row>
    <row r="494" spans="2:74" x14ac:dyDescent="0.2">
      <c r="B494" s="280"/>
      <c r="D494" s="280"/>
      <c r="E494" s="280"/>
      <c r="F494" s="280"/>
      <c r="G494" s="280"/>
      <c r="H494" s="280"/>
      <c r="I494" s="280"/>
      <c r="J494" s="280"/>
      <c r="K494" s="280"/>
      <c r="L494" s="280"/>
      <c r="M494" s="280"/>
      <c r="N494" s="280"/>
      <c r="O494" s="280"/>
      <c r="P494" s="280"/>
      <c r="Q494" s="280"/>
      <c r="R494" s="280"/>
      <c r="S494" s="280"/>
      <c r="T494" s="280"/>
      <c r="U494" s="280"/>
      <c r="V494" s="280"/>
      <c r="W494" s="280"/>
      <c r="X494" s="280"/>
      <c r="Y494" s="280"/>
      <c r="Z494" s="280"/>
      <c r="AA494" s="280"/>
      <c r="AB494" s="280"/>
      <c r="AC494" s="280"/>
      <c r="AD494" s="280"/>
      <c r="AE494" s="280"/>
      <c r="AF494" s="280"/>
      <c r="AG494" s="280"/>
      <c r="AH494" s="280"/>
      <c r="AI494" s="280"/>
      <c r="AJ494" s="280"/>
      <c r="AK494" s="280"/>
      <c r="AL494" s="280"/>
      <c r="AM494" s="280"/>
      <c r="AN494" s="280"/>
      <c r="AO494" s="280"/>
      <c r="AP494" s="280"/>
      <c r="AQ494" s="280"/>
      <c r="AR494" s="280"/>
      <c r="AS494" s="280"/>
      <c r="AT494" s="280"/>
      <c r="AU494" s="280"/>
      <c r="AV494" s="280"/>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row>
    <row r="495" spans="2:74" x14ac:dyDescent="0.2">
      <c r="B495" s="280"/>
      <c r="D495" s="280"/>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c r="AK495" s="280"/>
      <c r="AL495" s="280"/>
      <c r="AM495" s="280"/>
      <c r="AN495" s="280"/>
      <c r="AO495" s="280"/>
      <c r="AP495" s="280"/>
      <c r="AQ495" s="280"/>
      <c r="AR495" s="280"/>
      <c r="AS495" s="280"/>
      <c r="AT495" s="280"/>
      <c r="AU495" s="280"/>
      <c r="AV495" s="280"/>
      <c r="AW495" s="280"/>
      <c r="AX495" s="280"/>
      <c r="AY495" s="280"/>
      <c r="AZ495" s="280"/>
      <c r="BA495" s="280"/>
      <c r="BB495" s="280"/>
      <c r="BC495" s="280"/>
      <c r="BD495" s="280"/>
      <c r="BE495" s="280"/>
      <c r="BF495" s="280"/>
      <c r="BG495" s="280"/>
      <c r="BH495" s="280"/>
      <c r="BI495" s="280"/>
      <c r="BJ495" s="280"/>
      <c r="BK495" s="280"/>
      <c r="BL495" s="280"/>
      <c r="BM495" s="280"/>
      <c r="BN495" s="280"/>
      <c r="BO495" s="280"/>
      <c r="BP495" s="280"/>
      <c r="BQ495" s="280"/>
      <c r="BR495" s="280"/>
      <c r="BS495" s="280"/>
      <c r="BT495" s="280"/>
      <c r="BU495" s="280"/>
      <c r="BV495" s="280"/>
    </row>
    <row r="496" spans="2:74" x14ac:dyDescent="0.2">
      <c r="B496" s="280"/>
      <c r="D496" s="280"/>
      <c r="E496" s="280"/>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0"/>
      <c r="AB496" s="280"/>
      <c r="AC496" s="280"/>
      <c r="AD496" s="280"/>
      <c r="AE496" s="280"/>
      <c r="AF496" s="280"/>
      <c r="AG496" s="280"/>
      <c r="AH496" s="280"/>
      <c r="AI496" s="280"/>
      <c r="AJ496" s="280"/>
      <c r="AK496" s="280"/>
      <c r="AL496" s="280"/>
      <c r="AM496" s="280"/>
      <c r="AN496" s="280"/>
      <c r="AO496" s="280"/>
      <c r="AP496" s="280"/>
      <c r="AQ496" s="280"/>
      <c r="AR496" s="280"/>
      <c r="AS496" s="280"/>
      <c r="AT496" s="280"/>
      <c r="AU496" s="280"/>
      <c r="AV496" s="280"/>
      <c r="AW496" s="280"/>
      <c r="AX496" s="280"/>
      <c r="AY496" s="280"/>
      <c r="AZ496" s="280"/>
      <c r="BA496" s="280"/>
      <c r="BB496" s="280"/>
      <c r="BC496" s="280"/>
      <c r="BD496" s="280"/>
      <c r="BE496" s="280"/>
      <c r="BF496" s="280"/>
      <c r="BG496" s="280"/>
      <c r="BH496" s="280"/>
      <c r="BI496" s="280"/>
      <c r="BJ496" s="280"/>
      <c r="BK496" s="280"/>
      <c r="BL496" s="280"/>
      <c r="BM496" s="280"/>
      <c r="BN496" s="280"/>
      <c r="BO496" s="280"/>
      <c r="BP496" s="280"/>
      <c r="BQ496" s="280"/>
      <c r="BR496" s="280"/>
      <c r="BS496" s="280"/>
      <c r="BT496" s="280"/>
      <c r="BU496" s="280"/>
      <c r="BV496" s="280"/>
    </row>
    <row r="497" spans="2:74" x14ac:dyDescent="0.2">
      <c r="B497" s="280"/>
      <c r="D497" s="280"/>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0"/>
      <c r="AB497" s="280"/>
      <c r="AC497" s="280"/>
      <c r="AD497" s="280"/>
      <c r="AE497" s="280"/>
      <c r="AF497" s="280"/>
      <c r="AG497" s="280"/>
      <c r="AH497" s="280"/>
      <c r="AI497" s="280"/>
      <c r="AJ497" s="280"/>
      <c r="AK497" s="280"/>
      <c r="AL497" s="280"/>
      <c r="AM497" s="280"/>
      <c r="AN497" s="280"/>
      <c r="AO497" s="280"/>
      <c r="AP497" s="280"/>
      <c r="AQ497" s="280"/>
      <c r="AR497" s="280"/>
      <c r="AS497" s="280"/>
      <c r="AT497" s="280"/>
      <c r="AU497" s="280"/>
      <c r="AV497" s="280"/>
      <c r="AW497" s="280"/>
      <c r="AX497" s="280"/>
      <c r="AY497" s="280"/>
      <c r="AZ497" s="280"/>
      <c r="BA497" s="280"/>
      <c r="BB497" s="280"/>
      <c r="BC497" s="280"/>
      <c r="BD497" s="280"/>
      <c r="BE497" s="280"/>
      <c r="BF497" s="280"/>
      <c r="BG497" s="280"/>
      <c r="BH497" s="280"/>
      <c r="BI497" s="280"/>
      <c r="BJ497" s="280"/>
      <c r="BK497" s="280"/>
      <c r="BL497" s="280"/>
      <c r="BM497" s="280"/>
      <c r="BN497" s="280"/>
      <c r="BO497" s="280"/>
      <c r="BP497" s="280"/>
      <c r="BQ497" s="280"/>
      <c r="BR497" s="280"/>
      <c r="BS497" s="280"/>
      <c r="BT497" s="280"/>
      <c r="BU497" s="280"/>
      <c r="BV497" s="280"/>
    </row>
    <row r="498" spans="2:74" x14ac:dyDescent="0.2">
      <c r="B498" s="280"/>
      <c r="D498" s="280"/>
      <c r="E498" s="280"/>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0"/>
      <c r="AB498" s="280"/>
      <c r="AC498" s="280"/>
      <c r="AD498" s="280"/>
      <c r="AE498" s="280"/>
      <c r="AF498" s="280"/>
      <c r="AG498" s="280"/>
      <c r="AH498" s="28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0"/>
      <c r="BI498" s="280"/>
      <c r="BJ498" s="280"/>
      <c r="BK498" s="280"/>
      <c r="BL498" s="280"/>
      <c r="BM498" s="280"/>
      <c r="BN498" s="280"/>
      <c r="BO498" s="280"/>
      <c r="BP498" s="280"/>
      <c r="BQ498" s="280"/>
      <c r="BR498" s="280"/>
      <c r="BS498" s="280"/>
      <c r="BT498" s="280"/>
      <c r="BU498" s="280"/>
      <c r="BV498" s="280"/>
    </row>
    <row r="499" spans="2:74" x14ac:dyDescent="0.2">
      <c r="B499" s="280"/>
      <c r="D499" s="280"/>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c r="AH499" s="28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0"/>
      <c r="BI499" s="280"/>
      <c r="BJ499" s="280"/>
      <c r="BK499" s="280"/>
      <c r="BL499" s="280"/>
      <c r="BM499" s="280"/>
      <c r="BN499" s="280"/>
      <c r="BO499" s="280"/>
      <c r="BP499" s="280"/>
      <c r="BQ499" s="280"/>
      <c r="BR499" s="280"/>
      <c r="BS499" s="280"/>
      <c r="BT499" s="280"/>
      <c r="BU499" s="280"/>
      <c r="BV499" s="280"/>
    </row>
    <row r="500" spans="2:74" x14ac:dyDescent="0.2">
      <c r="B500" s="280"/>
      <c r="D500" s="280"/>
      <c r="E500" s="280"/>
      <c r="F500" s="280"/>
      <c r="G500" s="280"/>
      <c r="H500" s="280"/>
      <c r="I500" s="280"/>
      <c r="J500" s="280"/>
      <c r="K500" s="280"/>
      <c r="L500" s="280"/>
      <c r="M500" s="280"/>
      <c r="N500" s="280"/>
      <c r="O500" s="280"/>
      <c r="P500" s="280"/>
      <c r="Q500" s="280"/>
      <c r="R500" s="280"/>
      <c r="S500" s="280"/>
      <c r="T500" s="280"/>
      <c r="U500" s="280"/>
      <c r="V500" s="280"/>
      <c r="W500" s="280"/>
      <c r="X500" s="280"/>
      <c r="Y500" s="280"/>
      <c r="Z500" s="280"/>
      <c r="AA500" s="280"/>
      <c r="AB500" s="280"/>
      <c r="AC500" s="280"/>
      <c r="AD500" s="280"/>
      <c r="AE500" s="280"/>
      <c r="AF500" s="280"/>
      <c r="AG500" s="280"/>
      <c r="AH500" s="280"/>
      <c r="AI500" s="280"/>
      <c r="AJ500" s="280"/>
      <c r="AK500" s="280"/>
      <c r="AL500" s="280"/>
      <c r="AM500" s="280"/>
      <c r="AN500" s="280"/>
      <c r="AO500" s="280"/>
      <c r="AP500" s="280"/>
      <c r="AQ500" s="280"/>
      <c r="AR500" s="280"/>
      <c r="AS500" s="280"/>
      <c r="AT500" s="280"/>
      <c r="AU500" s="280"/>
      <c r="AV500" s="280"/>
      <c r="AW500" s="280"/>
      <c r="AX500" s="280"/>
      <c r="AY500" s="280"/>
      <c r="AZ500" s="280"/>
      <c r="BA500" s="280"/>
      <c r="BB500" s="280"/>
      <c r="BC500" s="280"/>
      <c r="BD500" s="280"/>
      <c r="BE500" s="280"/>
      <c r="BF500" s="280"/>
      <c r="BG500" s="280"/>
      <c r="BH500" s="280"/>
      <c r="BI500" s="280"/>
      <c r="BJ500" s="280"/>
      <c r="BK500" s="280"/>
      <c r="BL500" s="280"/>
      <c r="BM500" s="280"/>
      <c r="BN500" s="280"/>
      <c r="BO500" s="280"/>
      <c r="BP500" s="280"/>
      <c r="BQ500" s="280"/>
      <c r="BR500" s="280"/>
      <c r="BS500" s="280"/>
      <c r="BT500" s="280"/>
      <c r="BU500" s="280"/>
      <c r="BV500" s="280"/>
    </row>
    <row r="501" spans="2:74" x14ac:dyDescent="0.2">
      <c r="B501" s="280"/>
      <c r="D501" s="280"/>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c r="AA501" s="280"/>
      <c r="AB501" s="280"/>
      <c r="AC501" s="280"/>
      <c r="AD501" s="280"/>
      <c r="AE501" s="280"/>
      <c r="AF501" s="280"/>
      <c r="AG501" s="280"/>
      <c r="AH501" s="280"/>
      <c r="AI501" s="280"/>
      <c r="AJ501" s="280"/>
      <c r="AK501" s="280"/>
      <c r="AL501" s="280"/>
      <c r="AM501" s="280"/>
      <c r="AN501" s="280"/>
      <c r="AO501" s="280"/>
      <c r="AP501" s="280"/>
      <c r="AQ501" s="280"/>
      <c r="AR501" s="280"/>
      <c r="AS501" s="280"/>
      <c r="AT501" s="280"/>
      <c r="AU501" s="280"/>
      <c r="AV501" s="280"/>
      <c r="AW501" s="280"/>
      <c r="AX501" s="280"/>
      <c r="AY501" s="280"/>
      <c r="AZ501" s="280"/>
      <c r="BA501" s="280"/>
      <c r="BB501" s="280"/>
      <c r="BC501" s="280"/>
      <c r="BD501" s="280"/>
      <c r="BE501" s="280"/>
      <c r="BF501" s="280"/>
      <c r="BG501" s="280"/>
      <c r="BH501" s="280"/>
      <c r="BI501" s="280"/>
      <c r="BJ501" s="280"/>
      <c r="BK501" s="280"/>
      <c r="BL501" s="280"/>
      <c r="BM501" s="280"/>
      <c r="BN501" s="280"/>
      <c r="BO501" s="280"/>
      <c r="BP501" s="280"/>
      <c r="BQ501" s="280"/>
      <c r="BR501" s="280"/>
      <c r="BS501" s="280"/>
      <c r="BT501" s="280"/>
      <c r="BU501" s="280"/>
      <c r="BV501" s="280"/>
    </row>
    <row r="502" spans="2:74" x14ac:dyDescent="0.2">
      <c r="B502" s="280"/>
      <c r="D502" s="280"/>
      <c r="E502" s="280"/>
      <c r="F502" s="280"/>
      <c r="G502" s="280"/>
      <c r="H502" s="280"/>
      <c r="I502" s="280"/>
      <c r="J502" s="280"/>
      <c r="K502" s="280"/>
      <c r="L502" s="280"/>
      <c r="M502" s="280"/>
      <c r="N502" s="280"/>
      <c r="O502" s="280"/>
      <c r="P502" s="280"/>
      <c r="Q502" s="280"/>
      <c r="R502" s="280"/>
      <c r="S502" s="280"/>
      <c r="T502" s="280"/>
      <c r="U502" s="280"/>
      <c r="V502" s="280"/>
      <c r="W502" s="280"/>
      <c r="X502" s="280"/>
      <c r="Y502" s="280"/>
      <c r="Z502" s="280"/>
      <c r="AA502" s="280"/>
      <c r="AB502" s="280"/>
      <c r="AC502" s="280"/>
      <c r="AD502" s="280"/>
      <c r="AE502" s="280"/>
      <c r="AF502" s="280"/>
      <c r="AG502" s="280"/>
      <c r="AH502" s="280"/>
      <c r="AI502" s="280"/>
      <c r="AJ502" s="280"/>
      <c r="AK502" s="280"/>
      <c r="AL502" s="280"/>
      <c r="AM502" s="280"/>
      <c r="AN502" s="280"/>
      <c r="AO502" s="280"/>
      <c r="AP502" s="280"/>
      <c r="AQ502" s="280"/>
      <c r="AR502" s="280"/>
      <c r="AS502" s="280"/>
      <c r="AT502" s="280"/>
      <c r="AU502" s="280"/>
      <c r="AV502" s="280"/>
      <c r="AW502" s="280"/>
      <c r="AX502" s="280"/>
      <c r="AY502" s="280"/>
      <c r="AZ502" s="280"/>
      <c r="BA502" s="280"/>
      <c r="BB502" s="280"/>
      <c r="BC502" s="280"/>
      <c r="BD502" s="280"/>
      <c r="BE502" s="280"/>
      <c r="BF502" s="280"/>
      <c r="BG502" s="280"/>
      <c r="BH502" s="280"/>
      <c r="BI502" s="280"/>
      <c r="BJ502" s="280"/>
      <c r="BK502" s="280"/>
      <c r="BL502" s="280"/>
      <c r="BM502" s="280"/>
      <c r="BN502" s="280"/>
      <c r="BO502" s="280"/>
      <c r="BP502" s="280"/>
      <c r="BQ502" s="280"/>
      <c r="BR502" s="280"/>
      <c r="BS502" s="280"/>
      <c r="BT502" s="280"/>
      <c r="BU502" s="280"/>
      <c r="BV502" s="280"/>
    </row>
    <row r="503" spans="2:74" x14ac:dyDescent="0.2">
      <c r="B503" s="280"/>
      <c r="D503" s="280"/>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c r="AA503" s="280"/>
      <c r="AB503" s="280"/>
      <c r="AC503" s="280"/>
      <c r="AD503" s="280"/>
      <c r="AE503" s="280"/>
      <c r="AF503" s="280"/>
      <c r="AG503" s="280"/>
      <c r="AH503" s="280"/>
      <c r="AI503" s="280"/>
      <c r="AJ503" s="280"/>
      <c r="AK503" s="280"/>
      <c r="AL503" s="280"/>
      <c r="AM503" s="280"/>
      <c r="AN503" s="280"/>
      <c r="AO503" s="280"/>
      <c r="AP503" s="280"/>
      <c r="AQ503" s="280"/>
      <c r="AR503" s="280"/>
      <c r="AS503" s="280"/>
      <c r="AT503" s="280"/>
      <c r="AU503" s="280"/>
      <c r="AV503" s="280"/>
      <c r="AW503" s="280"/>
      <c r="AX503" s="280"/>
      <c r="AY503" s="280"/>
      <c r="AZ503" s="280"/>
      <c r="BA503" s="280"/>
      <c r="BB503" s="280"/>
      <c r="BC503" s="280"/>
      <c r="BD503" s="280"/>
      <c r="BE503" s="280"/>
      <c r="BF503" s="280"/>
      <c r="BG503" s="280"/>
      <c r="BH503" s="280"/>
      <c r="BI503" s="280"/>
      <c r="BJ503" s="280"/>
      <c r="BK503" s="280"/>
      <c r="BL503" s="280"/>
      <c r="BM503" s="280"/>
      <c r="BN503" s="280"/>
      <c r="BO503" s="280"/>
      <c r="BP503" s="280"/>
      <c r="BQ503" s="280"/>
      <c r="BR503" s="280"/>
      <c r="BS503" s="280"/>
      <c r="BT503" s="280"/>
      <c r="BU503" s="280"/>
      <c r="BV503" s="280"/>
    </row>
    <row r="504" spans="2:74" x14ac:dyDescent="0.2">
      <c r="B504" s="280"/>
      <c r="D504" s="280"/>
      <c r="E504" s="280"/>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0"/>
      <c r="AB504" s="280"/>
      <c r="AC504" s="280"/>
      <c r="AD504" s="280"/>
      <c r="AE504" s="280"/>
      <c r="AF504" s="280"/>
      <c r="AG504" s="280"/>
      <c r="AH504" s="280"/>
      <c r="AI504" s="280"/>
      <c r="AJ504" s="280"/>
      <c r="AK504" s="280"/>
      <c r="AL504" s="280"/>
      <c r="AM504" s="280"/>
      <c r="AN504" s="280"/>
      <c r="AO504" s="280"/>
      <c r="AP504" s="280"/>
      <c r="AQ504" s="280"/>
      <c r="AR504" s="280"/>
      <c r="AS504" s="280"/>
      <c r="AT504" s="280"/>
      <c r="AU504" s="280"/>
      <c r="AV504" s="280"/>
      <c r="AW504" s="280"/>
      <c r="AX504" s="280"/>
      <c r="AY504" s="280"/>
      <c r="AZ504" s="280"/>
      <c r="BA504" s="280"/>
      <c r="BB504" s="280"/>
      <c r="BC504" s="280"/>
      <c r="BD504" s="280"/>
      <c r="BE504" s="280"/>
      <c r="BF504" s="280"/>
      <c r="BG504" s="280"/>
      <c r="BH504" s="280"/>
      <c r="BI504" s="280"/>
      <c r="BJ504" s="280"/>
      <c r="BK504" s="280"/>
      <c r="BL504" s="280"/>
      <c r="BM504" s="280"/>
      <c r="BN504" s="280"/>
      <c r="BO504" s="280"/>
      <c r="BP504" s="280"/>
      <c r="BQ504" s="280"/>
      <c r="BR504" s="280"/>
      <c r="BS504" s="280"/>
      <c r="BT504" s="280"/>
      <c r="BU504" s="280"/>
      <c r="BV504" s="280"/>
    </row>
    <row r="505" spans="2:74" x14ac:dyDescent="0.2">
      <c r="B505" s="280"/>
      <c r="D505" s="280"/>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0"/>
      <c r="AB505" s="280"/>
      <c r="AC505" s="280"/>
      <c r="AD505" s="280"/>
      <c r="AE505" s="280"/>
      <c r="AF505" s="280"/>
      <c r="AG505" s="280"/>
      <c r="AH505" s="280"/>
      <c r="AI505" s="280"/>
      <c r="AJ505" s="280"/>
      <c r="AK505" s="280"/>
      <c r="AL505" s="280"/>
      <c r="AM505" s="280"/>
      <c r="AN505" s="280"/>
      <c r="AO505" s="280"/>
      <c r="AP505" s="280"/>
      <c r="AQ505" s="280"/>
      <c r="AR505" s="280"/>
      <c r="AS505" s="280"/>
      <c r="AT505" s="280"/>
      <c r="AU505" s="280"/>
      <c r="AV505" s="280"/>
      <c r="AW505" s="280"/>
      <c r="AX505" s="280"/>
      <c r="AY505" s="280"/>
      <c r="AZ505" s="280"/>
      <c r="BA505" s="280"/>
      <c r="BB505" s="280"/>
      <c r="BC505" s="280"/>
      <c r="BD505" s="280"/>
      <c r="BE505" s="280"/>
      <c r="BF505" s="280"/>
      <c r="BG505" s="280"/>
      <c r="BH505" s="280"/>
      <c r="BI505" s="280"/>
      <c r="BJ505" s="280"/>
      <c r="BK505" s="280"/>
      <c r="BL505" s="280"/>
      <c r="BM505" s="280"/>
      <c r="BN505" s="280"/>
      <c r="BO505" s="280"/>
      <c r="BP505" s="280"/>
      <c r="BQ505" s="280"/>
      <c r="BR505" s="280"/>
      <c r="BS505" s="280"/>
      <c r="BT505" s="280"/>
      <c r="BU505" s="280"/>
      <c r="BV505" s="280"/>
    </row>
    <row r="506" spans="2:74" x14ac:dyDescent="0.2">
      <c r="B506" s="280"/>
      <c r="D506" s="280"/>
      <c r="E506" s="280"/>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0"/>
      <c r="AB506" s="280"/>
      <c r="AC506" s="280"/>
      <c r="AD506" s="280"/>
      <c r="AE506" s="280"/>
      <c r="AF506" s="280"/>
      <c r="AG506" s="280"/>
      <c r="AH506" s="280"/>
      <c r="AI506" s="280"/>
      <c r="AJ506" s="280"/>
      <c r="AK506" s="280"/>
      <c r="AL506" s="280"/>
      <c r="AM506" s="280"/>
      <c r="AN506" s="280"/>
      <c r="AO506" s="280"/>
      <c r="AP506" s="280"/>
      <c r="AQ506" s="280"/>
      <c r="AR506" s="280"/>
      <c r="AS506" s="280"/>
      <c r="AT506" s="280"/>
      <c r="AU506" s="280"/>
      <c r="AV506" s="280"/>
      <c r="AW506" s="280"/>
      <c r="AX506" s="280"/>
      <c r="AY506" s="280"/>
      <c r="AZ506" s="280"/>
      <c r="BA506" s="280"/>
      <c r="BB506" s="280"/>
      <c r="BC506" s="280"/>
      <c r="BD506" s="280"/>
      <c r="BE506" s="280"/>
      <c r="BF506" s="280"/>
      <c r="BG506" s="280"/>
      <c r="BH506" s="280"/>
      <c r="BI506" s="280"/>
      <c r="BJ506" s="280"/>
      <c r="BK506" s="280"/>
      <c r="BL506" s="280"/>
      <c r="BM506" s="280"/>
      <c r="BN506" s="280"/>
      <c r="BO506" s="280"/>
      <c r="BP506" s="280"/>
      <c r="BQ506" s="280"/>
      <c r="BR506" s="280"/>
      <c r="BS506" s="280"/>
      <c r="BT506" s="280"/>
      <c r="BU506" s="280"/>
      <c r="BV506" s="280"/>
    </row>
    <row r="507" spans="2:74" x14ac:dyDescent="0.2">
      <c r="B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c r="AH507" s="280"/>
      <c r="AI507" s="280"/>
      <c r="AJ507" s="280"/>
      <c r="AK507" s="280"/>
      <c r="AL507" s="280"/>
      <c r="AM507" s="280"/>
      <c r="AN507" s="280"/>
      <c r="AO507" s="280"/>
      <c r="AP507" s="280"/>
      <c r="AQ507" s="280"/>
      <c r="AR507" s="280"/>
      <c r="AS507" s="280"/>
      <c r="AT507" s="280"/>
      <c r="AU507" s="280"/>
      <c r="AV507" s="280"/>
      <c r="AW507" s="280"/>
      <c r="AX507" s="280"/>
      <c r="AY507" s="280"/>
      <c r="AZ507" s="280"/>
      <c r="BA507" s="280"/>
      <c r="BB507" s="280"/>
      <c r="BC507" s="280"/>
      <c r="BD507" s="280"/>
      <c r="BE507" s="280"/>
      <c r="BF507" s="280"/>
      <c r="BG507" s="280"/>
      <c r="BH507" s="280"/>
      <c r="BI507" s="280"/>
      <c r="BJ507" s="280"/>
      <c r="BK507" s="280"/>
      <c r="BL507" s="280"/>
      <c r="BM507" s="280"/>
      <c r="BN507" s="280"/>
      <c r="BO507" s="280"/>
      <c r="BP507" s="280"/>
      <c r="BQ507" s="280"/>
      <c r="BR507" s="280"/>
      <c r="BS507" s="280"/>
      <c r="BT507" s="280"/>
      <c r="BU507" s="280"/>
      <c r="BV507" s="280"/>
    </row>
    <row r="508" spans="2:74" x14ac:dyDescent="0.2">
      <c r="B508" s="280"/>
      <c r="D508" s="280"/>
      <c r="E508" s="280"/>
      <c r="F508" s="280"/>
      <c r="G508" s="280"/>
      <c r="H508" s="280"/>
      <c r="I508" s="280"/>
      <c r="J508" s="280"/>
      <c r="K508" s="280"/>
      <c r="L508" s="280"/>
      <c r="M508" s="280"/>
      <c r="N508" s="280"/>
      <c r="O508" s="280"/>
      <c r="P508" s="280"/>
      <c r="Q508" s="280"/>
      <c r="R508" s="280"/>
      <c r="S508" s="280"/>
      <c r="T508" s="280"/>
      <c r="U508" s="280"/>
      <c r="V508" s="280"/>
      <c r="W508" s="280"/>
      <c r="X508" s="280"/>
      <c r="Y508" s="280"/>
      <c r="Z508" s="280"/>
      <c r="AA508" s="280"/>
      <c r="AB508" s="280"/>
      <c r="AC508" s="280"/>
      <c r="AD508" s="280"/>
      <c r="AE508" s="280"/>
      <c r="AF508" s="280"/>
      <c r="AG508" s="280"/>
      <c r="AH508" s="280"/>
      <c r="AI508" s="280"/>
      <c r="AJ508" s="280"/>
      <c r="AK508" s="280"/>
      <c r="AL508" s="280"/>
      <c r="AM508" s="280"/>
      <c r="AN508" s="280"/>
      <c r="AO508" s="280"/>
      <c r="AP508" s="280"/>
      <c r="AQ508" s="280"/>
      <c r="AR508" s="280"/>
      <c r="AS508" s="280"/>
      <c r="AT508" s="280"/>
      <c r="AU508" s="280"/>
      <c r="AV508" s="280"/>
      <c r="AW508" s="280"/>
      <c r="AX508" s="280"/>
      <c r="AY508" s="280"/>
      <c r="AZ508" s="280"/>
      <c r="BA508" s="280"/>
      <c r="BB508" s="280"/>
      <c r="BC508" s="280"/>
      <c r="BD508" s="280"/>
      <c r="BE508" s="280"/>
      <c r="BF508" s="280"/>
      <c r="BG508" s="280"/>
      <c r="BH508" s="280"/>
      <c r="BI508" s="280"/>
      <c r="BJ508" s="280"/>
      <c r="BK508" s="280"/>
      <c r="BL508" s="280"/>
      <c r="BM508" s="280"/>
      <c r="BN508" s="280"/>
      <c r="BO508" s="280"/>
      <c r="BP508" s="280"/>
      <c r="BQ508" s="280"/>
      <c r="BR508" s="280"/>
      <c r="BS508" s="280"/>
      <c r="BT508" s="280"/>
      <c r="BU508" s="280"/>
      <c r="BV508" s="280"/>
    </row>
    <row r="509" spans="2:74" x14ac:dyDescent="0.2">
      <c r="B509" s="280"/>
      <c r="D509" s="280"/>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80"/>
      <c r="AC509" s="280"/>
      <c r="AD509" s="280"/>
      <c r="AE509" s="280"/>
      <c r="AF509" s="280"/>
      <c r="AG509" s="280"/>
      <c r="AH509" s="280"/>
      <c r="AI509" s="280"/>
      <c r="AJ509" s="280"/>
      <c r="AK509" s="280"/>
      <c r="AL509" s="280"/>
      <c r="AM509" s="280"/>
      <c r="AN509" s="280"/>
      <c r="AO509" s="280"/>
      <c r="AP509" s="280"/>
      <c r="AQ509" s="280"/>
      <c r="AR509" s="280"/>
      <c r="AS509" s="280"/>
      <c r="AT509" s="280"/>
      <c r="AU509" s="280"/>
      <c r="AV509" s="280"/>
      <c r="AW509" s="280"/>
      <c r="AX509" s="280"/>
      <c r="AY509" s="280"/>
      <c r="AZ509" s="280"/>
      <c r="BA509" s="280"/>
      <c r="BB509" s="280"/>
      <c r="BC509" s="280"/>
      <c r="BD509" s="280"/>
      <c r="BE509" s="280"/>
      <c r="BF509" s="280"/>
      <c r="BG509" s="280"/>
      <c r="BH509" s="280"/>
      <c r="BI509" s="280"/>
      <c r="BJ509" s="280"/>
      <c r="BK509" s="280"/>
      <c r="BL509" s="280"/>
      <c r="BM509" s="280"/>
      <c r="BN509" s="280"/>
      <c r="BO509" s="280"/>
      <c r="BP509" s="280"/>
      <c r="BQ509" s="280"/>
      <c r="BR509" s="280"/>
      <c r="BS509" s="280"/>
      <c r="BT509" s="280"/>
      <c r="BU509" s="280"/>
      <c r="BV509" s="280"/>
    </row>
    <row r="510" spans="2:74" x14ac:dyDescent="0.2">
      <c r="B510" s="280"/>
      <c r="D510" s="280"/>
      <c r="E510" s="280"/>
      <c r="F510" s="280"/>
      <c r="G510" s="280"/>
      <c r="H510" s="280"/>
      <c r="I510" s="280"/>
      <c r="J510" s="280"/>
      <c r="K510" s="280"/>
      <c r="L510" s="280"/>
      <c r="M510" s="280"/>
      <c r="N510" s="280"/>
      <c r="O510" s="280"/>
      <c r="P510" s="280"/>
      <c r="Q510" s="280"/>
      <c r="R510" s="280"/>
      <c r="S510" s="280"/>
      <c r="T510" s="280"/>
      <c r="U510" s="280"/>
      <c r="V510" s="280"/>
      <c r="W510" s="280"/>
      <c r="X510" s="280"/>
      <c r="Y510" s="280"/>
      <c r="Z510" s="280"/>
      <c r="AA510" s="280"/>
      <c r="AB510" s="280"/>
      <c r="AC510" s="280"/>
      <c r="AD510" s="280"/>
      <c r="AE510" s="280"/>
      <c r="AF510" s="280"/>
      <c r="AG510" s="280"/>
      <c r="AH510" s="280"/>
      <c r="AI510" s="280"/>
      <c r="AJ510" s="280"/>
      <c r="AK510" s="280"/>
      <c r="AL510" s="280"/>
      <c r="AM510" s="280"/>
      <c r="AN510" s="280"/>
      <c r="AO510" s="280"/>
      <c r="AP510" s="280"/>
      <c r="AQ510" s="280"/>
      <c r="AR510" s="280"/>
      <c r="AS510" s="280"/>
      <c r="AT510" s="280"/>
      <c r="AU510" s="280"/>
      <c r="AV510" s="280"/>
      <c r="AW510" s="280"/>
      <c r="AX510" s="280"/>
      <c r="AY510" s="280"/>
      <c r="AZ510" s="280"/>
      <c r="BA510" s="280"/>
      <c r="BB510" s="280"/>
      <c r="BC510" s="280"/>
      <c r="BD510" s="280"/>
      <c r="BE510" s="280"/>
      <c r="BF510" s="280"/>
      <c r="BG510" s="280"/>
      <c r="BH510" s="280"/>
      <c r="BI510" s="280"/>
      <c r="BJ510" s="280"/>
      <c r="BK510" s="280"/>
      <c r="BL510" s="280"/>
      <c r="BM510" s="280"/>
      <c r="BN510" s="280"/>
      <c r="BO510" s="280"/>
      <c r="BP510" s="280"/>
      <c r="BQ510" s="280"/>
      <c r="BR510" s="280"/>
      <c r="BS510" s="280"/>
      <c r="BT510" s="280"/>
      <c r="BU510" s="280"/>
      <c r="BV510" s="280"/>
    </row>
    <row r="511" spans="2:74" x14ac:dyDescent="0.2">
      <c r="B511" s="280"/>
      <c r="D511" s="280"/>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c r="AA511" s="280"/>
      <c r="AB511" s="280"/>
      <c r="AC511" s="280"/>
      <c r="AD511" s="280"/>
      <c r="AE511" s="280"/>
      <c r="AF511" s="280"/>
      <c r="AG511" s="280"/>
      <c r="AH511" s="280"/>
      <c r="AI511" s="280"/>
      <c r="AJ511" s="280"/>
      <c r="AK511" s="280"/>
      <c r="AL511" s="280"/>
      <c r="AM511" s="280"/>
      <c r="AN511" s="280"/>
      <c r="AO511" s="280"/>
      <c r="AP511" s="280"/>
      <c r="AQ511" s="280"/>
      <c r="AR511" s="280"/>
      <c r="AS511" s="280"/>
      <c r="AT511" s="280"/>
      <c r="AU511" s="280"/>
      <c r="AV511" s="280"/>
      <c r="AW511" s="280"/>
      <c r="AX511" s="280"/>
      <c r="AY511" s="280"/>
      <c r="AZ511" s="280"/>
      <c r="BA511" s="280"/>
      <c r="BB511" s="280"/>
      <c r="BC511" s="280"/>
      <c r="BD511" s="280"/>
      <c r="BE511" s="280"/>
      <c r="BF511" s="280"/>
      <c r="BG511" s="280"/>
      <c r="BH511" s="280"/>
      <c r="BI511" s="280"/>
      <c r="BJ511" s="280"/>
      <c r="BK511" s="280"/>
      <c r="BL511" s="280"/>
      <c r="BM511" s="280"/>
      <c r="BN511" s="280"/>
      <c r="BO511" s="280"/>
      <c r="BP511" s="280"/>
      <c r="BQ511" s="280"/>
      <c r="BR511" s="280"/>
      <c r="BS511" s="280"/>
      <c r="BT511" s="280"/>
      <c r="BU511" s="280"/>
      <c r="BV511" s="280"/>
    </row>
    <row r="512" spans="2:74" x14ac:dyDescent="0.2">
      <c r="B512" s="280"/>
      <c r="D512" s="280"/>
      <c r="E512" s="280"/>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0"/>
      <c r="AB512" s="280"/>
      <c r="AC512" s="280"/>
      <c r="AD512" s="280"/>
      <c r="AE512" s="280"/>
      <c r="AF512" s="280"/>
      <c r="AG512" s="280"/>
      <c r="AH512" s="280"/>
      <c r="AI512" s="280"/>
      <c r="AJ512" s="280"/>
      <c r="AK512" s="280"/>
      <c r="AL512" s="280"/>
      <c r="AM512" s="280"/>
      <c r="AN512" s="280"/>
      <c r="AO512" s="280"/>
      <c r="AP512" s="280"/>
      <c r="AQ512" s="280"/>
      <c r="AR512" s="280"/>
      <c r="AS512" s="280"/>
      <c r="AT512" s="280"/>
      <c r="AU512" s="280"/>
      <c r="AV512" s="280"/>
      <c r="AW512" s="280"/>
      <c r="AX512" s="280"/>
      <c r="AY512" s="280"/>
      <c r="AZ512" s="280"/>
      <c r="BA512" s="280"/>
      <c r="BB512" s="280"/>
      <c r="BC512" s="280"/>
      <c r="BD512" s="280"/>
      <c r="BE512" s="280"/>
      <c r="BF512" s="280"/>
      <c r="BG512" s="280"/>
      <c r="BH512" s="280"/>
      <c r="BI512" s="280"/>
      <c r="BJ512" s="280"/>
      <c r="BK512" s="280"/>
      <c r="BL512" s="280"/>
      <c r="BM512" s="280"/>
      <c r="BN512" s="280"/>
      <c r="BO512" s="280"/>
      <c r="BP512" s="280"/>
      <c r="BQ512" s="280"/>
      <c r="BR512" s="280"/>
      <c r="BS512" s="280"/>
      <c r="BT512" s="280"/>
      <c r="BU512" s="280"/>
      <c r="BV512" s="280"/>
    </row>
    <row r="513" spans="2:74" x14ac:dyDescent="0.2">
      <c r="B513" s="280"/>
      <c r="D513" s="280"/>
      <c r="E513" s="280"/>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0"/>
      <c r="AB513" s="280"/>
      <c r="AC513" s="280"/>
      <c r="AD513" s="280"/>
      <c r="AE513" s="280"/>
      <c r="AF513" s="280"/>
      <c r="AG513" s="280"/>
      <c r="AH513" s="280"/>
      <c r="AI513" s="280"/>
      <c r="AJ513" s="280"/>
      <c r="AK513" s="280"/>
      <c r="AL513" s="280"/>
      <c r="AM513" s="280"/>
      <c r="AN513" s="280"/>
      <c r="AO513" s="280"/>
      <c r="AP513" s="280"/>
      <c r="AQ513" s="280"/>
      <c r="AR513" s="280"/>
      <c r="AS513" s="280"/>
      <c r="AT513" s="280"/>
      <c r="AU513" s="280"/>
      <c r="AV513" s="280"/>
      <c r="AW513" s="280"/>
      <c r="AX513" s="280"/>
      <c r="AY513" s="280"/>
      <c r="AZ513" s="280"/>
      <c r="BA513" s="280"/>
      <c r="BB513" s="280"/>
      <c r="BC513" s="280"/>
      <c r="BD513" s="280"/>
      <c r="BE513" s="280"/>
      <c r="BF513" s="280"/>
      <c r="BG513" s="280"/>
      <c r="BH513" s="280"/>
      <c r="BI513" s="280"/>
      <c r="BJ513" s="280"/>
      <c r="BK513" s="280"/>
      <c r="BL513" s="280"/>
      <c r="BM513" s="280"/>
      <c r="BN513" s="280"/>
      <c r="BO513" s="280"/>
      <c r="BP513" s="280"/>
      <c r="BQ513" s="280"/>
      <c r="BR513" s="280"/>
      <c r="BS513" s="280"/>
      <c r="BT513" s="280"/>
      <c r="BU513" s="280"/>
      <c r="BV513" s="280"/>
    </row>
    <row r="514" spans="2:74" x14ac:dyDescent="0.2">
      <c r="B514" s="280"/>
      <c r="D514" s="280"/>
      <c r="E514" s="280"/>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0"/>
      <c r="AB514" s="280"/>
      <c r="AC514" s="280"/>
      <c r="AD514" s="280"/>
      <c r="AE514" s="280"/>
      <c r="AF514" s="280"/>
      <c r="AG514" s="280"/>
      <c r="AH514" s="280"/>
      <c r="AI514" s="280"/>
      <c r="AJ514" s="280"/>
      <c r="AK514" s="280"/>
      <c r="AL514" s="280"/>
      <c r="AM514" s="280"/>
      <c r="AN514" s="280"/>
      <c r="AO514" s="280"/>
      <c r="AP514" s="280"/>
      <c r="AQ514" s="280"/>
      <c r="AR514" s="280"/>
      <c r="AS514" s="280"/>
      <c r="AT514" s="280"/>
      <c r="AU514" s="280"/>
      <c r="AV514" s="280"/>
      <c r="AW514" s="280"/>
      <c r="AX514" s="280"/>
      <c r="AY514" s="280"/>
      <c r="AZ514" s="280"/>
      <c r="BA514" s="280"/>
      <c r="BB514" s="280"/>
      <c r="BC514" s="280"/>
      <c r="BD514" s="280"/>
      <c r="BE514" s="280"/>
      <c r="BF514" s="280"/>
      <c r="BG514" s="280"/>
      <c r="BH514" s="280"/>
      <c r="BI514" s="280"/>
      <c r="BJ514" s="280"/>
      <c r="BK514" s="280"/>
      <c r="BL514" s="280"/>
      <c r="BM514" s="280"/>
      <c r="BN514" s="280"/>
      <c r="BO514" s="280"/>
      <c r="BP514" s="280"/>
      <c r="BQ514" s="280"/>
      <c r="BR514" s="280"/>
      <c r="BS514" s="280"/>
      <c r="BT514" s="280"/>
      <c r="BU514" s="280"/>
      <c r="BV514" s="280"/>
    </row>
    <row r="515" spans="2:74" x14ac:dyDescent="0.2">
      <c r="B515" s="280"/>
      <c r="D515" s="280"/>
      <c r="E515" s="280"/>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0"/>
      <c r="AB515" s="280"/>
      <c r="AC515" s="280"/>
      <c r="AD515" s="280"/>
      <c r="AE515" s="280"/>
      <c r="AF515" s="280"/>
      <c r="AG515" s="280"/>
      <c r="AH515" s="280"/>
      <c r="AI515" s="280"/>
      <c r="AJ515" s="280"/>
      <c r="AK515" s="280"/>
      <c r="AL515" s="280"/>
      <c r="AM515" s="280"/>
      <c r="AN515" s="280"/>
      <c r="AO515" s="280"/>
      <c r="AP515" s="280"/>
      <c r="AQ515" s="280"/>
      <c r="AR515" s="280"/>
      <c r="AS515" s="280"/>
      <c r="AT515" s="280"/>
      <c r="AU515" s="280"/>
      <c r="AV515" s="280"/>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row>
    <row r="516" spans="2:74" x14ac:dyDescent="0.2">
      <c r="B516" s="280"/>
      <c r="D516" s="280"/>
      <c r="E516" s="280"/>
      <c r="F516" s="280"/>
      <c r="G516" s="280"/>
      <c r="H516" s="280"/>
      <c r="I516" s="280"/>
      <c r="J516" s="280"/>
      <c r="K516" s="280"/>
      <c r="L516" s="280"/>
      <c r="M516" s="280"/>
      <c r="N516" s="280"/>
      <c r="O516" s="280"/>
      <c r="P516" s="280"/>
      <c r="Q516" s="280"/>
      <c r="R516" s="280"/>
      <c r="S516" s="280"/>
      <c r="T516" s="280"/>
      <c r="U516" s="280"/>
      <c r="V516" s="280"/>
      <c r="W516" s="280"/>
      <c r="X516" s="280"/>
      <c r="Y516" s="280"/>
      <c r="Z516" s="280"/>
      <c r="AA516" s="280"/>
      <c r="AB516" s="280"/>
      <c r="AC516" s="280"/>
      <c r="AD516" s="280"/>
      <c r="AE516" s="280"/>
      <c r="AF516" s="280"/>
      <c r="AG516" s="280"/>
      <c r="AH516" s="280"/>
      <c r="AI516" s="280"/>
      <c r="AJ516" s="280"/>
      <c r="AK516" s="280"/>
      <c r="AL516" s="280"/>
      <c r="AM516" s="280"/>
      <c r="AN516" s="280"/>
      <c r="AO516" s="280"/>
      <c r="AP516" s="280"/>
      <c r="AQ516" s="280"/>
      <c r="AR516" s="280"/>
      <c r="AS516" s="280"/>
      <c r="AT516" s="280"/>
      <c r="AU516" s="280"/>
      <c r="AV516" s="280"/>
      <c r="AW516" s="280"/>
      <c r="AX516" s="280"/>
      <c r="AY516" s="280"/>
      <c r="AZ516" s="280"/>
      <c r="BA516" s="280"/>
      <c r="BB516" s="280"/>
      <c r="BC516" s="280"/>
      <c r="BD516" s="280"/>
      <c r="BE516" s="280"/>
      <c r="BF516" s="280"/>
      <c r="BG516" s="280"/>
      <c r="BH516" s="280"/>
      <c r="BI516" s="280"/>
      <c r="BJ516" s="280"/>
      <c r="BK516" s="280"/>
      <c r="BL516" s="280"/>
      <c r="BM516" s="280"/>
      <c r="BN516" s="280"/>
      <c r="BO516" s="280"/>
      <c r="BP516" s="280"/>
      <c r="BQ516" s="280"/>
      <c r="BR516" s="280"/>
      <c r="BS516" s="280"/>
      <c r="BT516" s="280"/>
      <c r="BU516" s="280"/>
      <c r="BV516" s="280"/>
    </row>
    <row r="517" spans="2:74" x14ac:dyDescent="0.2">
      <c r="B517" s="280"/>
      <c r="D517" s="280"/>
      <c r="E517" s="280"/>
      <c r="F517" s="280"/>
      <c r="G517" s="280"/>
      <c r="H517" s="280"/>
      <c r="I517" s="280"/>
      <c r="J517" s="280"/>
      <c r="K517" s="280"/>
      <c r="L517" s="280"/>
      <c r="M517" s="280"/>
      <c r="N517" s="280"/>
      <c r="O517" s="280"/>
      <c r="P517" s="280"/>
      <c r="Q517" s="280"/>
      <c r="R517" s="280"/>
      <c r="S517" s="280"/>
      <c r="T517" s="280"/>
      <c r="U517" s="280"/>
      <c r="V517" s="280"/>
      <c r="W517" s="280"/>
      <c r="X517" s="280"/>
      <c r="Y517" s="280"/>
      <c r="Z517" s="280"/>
      <c r="AA517" s="280"/>
      <c r="AB517" s="280"/>
      <c r="AC517" s="280"/>
      <c r="AD517" s="280"/>
      <c r="AE517" s="280"/>
      <c r="AF517" s="280"/>
      <c r="AG517" s="280"/>
      <c r="AH517" s="280"/>
      <c r="AI517" s="280"/>
      <c r="AJ517" s="280"/>
      <c r="AK517" s="280"/>
      <c r="AL517" s="280"/>
      <c r="AM517" s="280"/>
      <c r="AN517" s="280"/>
      <c r="AO517" s="280"/>
      <c r="AP517" s="280"/>
      <c r="AQ517" s="280"/>
      <c r="AR517" s="280"/>
      <c r="AS517" s="280"/>
      <c r="AT517" s="280"/>
      <c r="AU517" s="280"/>
      <c r="AV517" s="280"/>
      <c r="AW517" s="280"/>
      <c r="AX517" s="280"/>
      <c r="AY517" s="280"/>
      <c r="AZ517" s="280"/>
      <c r="BA517" s="280"/>
      <c r="BB517" s="280"/>
      <c r="BC517" s="280"/>
      <c r="BD517" s="280"/>
      <c r="BE517" s="280"/>
      <c r="BF517" s="280"/>
      <c r="BG517" s="280"/>
      <c r="BH517" s="280"/>
      <c r="BI517" s="280"/>
      <c r="BJ517" s="280"/>
      <c r="BK517" s="280"/>
      <c r="BL517" s="280"/>
      <c r="BM517" s="280"/>
      <c r="BN517" s="280"/>
      <c r="BO517" s="280"/>
      <c r="BP517" s="280"/>
      <c r="BQ517" s="280"/>
      <c r="BR517" s="280"/>
      <c r="BS517" s="280"/>
      <c r="BT517" s="280"/>
      <c r="BU517" s="280"/>
      <c r="BV517" s="280"/>
    </row>
    <row r="518" spans="2:74" x14ac:dyDescent="0.2">
      <c r="B518" s="280"/>
      <c r="D518" s="280"/>
      <c r="E518" s="280"/>
      <c r="F518" s="280"/>
      <c r="G518" s="280"/>
      <c r="H518" s="280"/>
      <c r="I518" s="280"/>
      <c r="J518" s="280"/>
      <c r="K518" s="280"/>
      <c r="L518" s="280"/>
      <c r="M518" s="280"/>
      <c r="N518" s="280"/>
      <c r="O518" s="280"/>
      <c r="P518" s="280"/>
      <c r="Q518" s="280"/>
      <c r="R518" s="280"/>
      <c r="S518" s="280"/>
      <c r="T518" s="280"/>
      <c r="U518" s="280"/>
      <c r="V518" s="280"/>
      <c r="W518" s="280"/>
      <c r="X518" s="280"/>
      <c r="Y518" s="280"/>
      <c r="Z518" s="280"/>
      <c r="AA518" s="280"/>
      <c r="AB518" s="280"/>
      <c r="AC518" s="280"/>
      <c r="AD518" s="280"/>
      <c r="AE518" s="280"/>
      <c r="AF518" s="280"/>
      <c r="AG518" s="280"/>
      <c r="AH518" s="280"/>
      <c r="AI518" s="280"/>
      <c r="AJ518" s="280"/>
      <c r="AK518" s="280"/>
      <c r="AL518" s="280"/>
      <c r="AM518" s="280"/>
      <c r="AN518" s="280"/>
      <c r="AO518" s="280"/>
      <c r="AP518" s="280"/>
      <c r="AQ518" s="280"/>
      <c r="AR518" s="280"/>
      <c r="AS518" s="280"/>
      <c r="AT518" s="280"/>
      <c r="AU518" s="280"/>
      <c r="AV518" s="280"/>
      <c r="AW518" s="280"/>
      <c r="AX518" s="280"/>
      <c r="AY518" s="280"/>
      <c r="AZ518" s="280"/>
      <c r="BA518" s="280"/>
      <c r="BB518" s="280"/>
      <c r="BC518" s="280"/>
      <c r="BD518" s="280"/>
      <c r="BE518" s="280"/>
      <c r="BF518" s="280"/>
      <c r="BG518" s="280"/>
      <c r="BH518" s="280"/>
      <c r="BI518" s="280"/>
      <c r="BJ518" s="280"/>
      <c r="BK518" s="280"/>
      <c r="BL518" s="280"/>
      <c r="BM518" s="280"/>
      <c r="BN518" s="280"/>
      <c r="BO518" s="280"/>
      <c r="BP518" s="280"/>
      <c r="BQ518" s="280"/>
      <c r="BR518" s="280"/>
      <c r="BS518" s="280"/>
      <c r="BT518" s="280"/>
      <c r="BU518" s="280"/>
      <c r="BV518" s="280"/>
    </row>
    <row r="519" spans="2:74" x14ac:dyDescent="0.2">
      <c r="B519" s="280"/>
      <c r="D519" s="280"/>
      <c r="E519" s="280"/>
      <c r="F519" s="280"/>
      <c r="G519" s="280"/>
      <c r="H519" s="280"/>
      <c r="I519" s="280"/>
      <c r="J519" s="280"/>
      <c r="K519" s="280"/>
      <c r="L519" s="280"/>
      <c r="M519" s="280"/>
      <c r="N519" s="280"/>
      <c r="O519" s="280"/>
      <c r="P519" s="280"/>
      <c r="Q519" s="280"/>
      <c r="R519" s="280"/>
      <c r="S519" s="280"/>
      <c r="T519" s="280"/>
      <c r="U519" s="280"/>
      <c r="V519" s="280"/>
      <c r="W519" s="280"/>
      <c r="X519" s="280"/>
      <c r="Y519" s="280"/>
      <c r="Z519" s="280"/>
      <c r="AA519" s="280"/>
      <c r="AB519" s="280"/>
      <c r="AC519" s="280"/>
      <c r="AD519" s="280"/>
      <c r="AE519" s="280"/>
      <c r="AF519" s="280"/>
      <c r="AG519" s="280"/>
      <c r="AH519" s="280"/>
      <c r="AI519" s="280"/>
      <c r="AJ519" s="280"/>
      <c r="AK519" s="280"/>
      <c r="AL519" s="280"/>
      <c r="AM519" s="280"/>
      <c r="AN519" s="280"/>
      <c r="AO519" s="280"/>
      <c r="AP519" s="280"/>
      <c r="AQ519" s="280"/>
      <c r="AR519" s="280"/>
      <c r="AS519" s="280"/>
      <c r="AT519" s="280"/>
      <c r="AU519" s="280"/>
      <c r="AV519" s="280"/>
      <c r="AW519" s="280"/>
      <c r="AX519" s="280"/>
      <c r="AY519" s="280"/>
      <c r="AZ519" s="280"/>
      <c r="BA519" s="280"/>
      <c r="BB519" s="280"/>
      <c r="BC519" s="280"/>
      <c r="BD519" s="280"/>
      <c r="BE519" s="280"/>
      <c r="BF519" s="280"/>
      <c r="BG519" s="280"/>
      <c r="BH519" s="280"/>
      <c r="BI519" s="280"/>
      <c r="BJ519" s="280"/>
      <c r="BK519" s="280"/>
      <c r="BL519" s="280"/>
      <c r="BM519" s="280"/>
      <c r="BN519" s="280"/>
      <c r="BO519" s="280"/>
      <c r="BP519" s="280"/>
      <c r="BQ519" s="280"/>
      <c r="BR519" s="280"/>
      <c r="BS519" s="280"/>
      <c r="BT519" s="280"/>
      <c r="BU519" s="280"/>
      <c r="BV519" s="280"/>
    </row>
    <row r="520" spans="2:74" x14ac:dyDescent="0.2">
      <c r="B520" s="280"/>
      <c r="D520" s="280"/>
      <c r="E520" s="280"/>
      <c r="F520" s="280"/>
      <c r="G520" s="280"/>
      <c r="H520" s="280"/>
      <c r="I520" s="280"/>
      <c r="J520" s="280"/>
      <c r="K520" s="280"/>
      <c r="L520" s="280"/>
      <c r="M520" s="280"/>
      <c r="N520" s="280"/>
      <c r="O520" s="280"/>
      <c r="P520" s="280"/>
      <c r="Q520" s="280"/>
      <c r="R520" s="280"/>
      <c r="S520" s="280"/>
      <c r="T520" s="280"/>
      <c r="U520" s="280"/>
      <c r="V520" s="280"/>
      <c r="W520" s="280"/>
      <c r="X520" s="280"/>
      <c r="Y520" s="280"/>
      <c r="Z520" s="280"/>
      <c r="AA520" s="280"/>
      <c r="AB520" s="280"/>
      <c r="AC520" s="280"/>
      <c r="AD520" s="280"/>
      <c r="AE520" s="280"/>
      <c r="AF520" s="280"/>
      <c r="AG520" s="280"/>
      <c r="AH520" s="280"/>
      <c r="AI520" s="280"/>
      <c r="AJ520" s="280"/>
      <c r="AK520" s="280"/>
      <c r="AL520" s="280"/>
      <c r="AM520" s="280"/>
      <c r="AN520" s="280"/>
      <c r="AO520" s="280"/>
      <c r="AP520" s="280"/>
      <c r="AQ520" s="280"/>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row>
    <row r="521" spans="2:74" x14ac:dyDescent="0.2">
      <c r="B521" s="280"/>
      <c r="D521" s="280"/>
      <c r="E521" s="280"/>
      <c r="F521" s="280"/>
      <c r="G521" s="280"/>
      <c r="H521" s="280"/>
      <c r="I521" s="280"/>
      <c r="J521" s="280"/>
      <c r="K521" s="280"/>
      <c r="L521" s="280"/>
      <c r="M521" s="280"/>
      <c r="N521" s="280"/>
      <c r="O521" s="280"/>
      <c r="P521" s="280"/>
      <c r="Q521" s="280"/>
      <c r="R521" s="280"/>
      <c r="S521" s="280"/>
      <c r="T521" s="280"/>
      <c r="U521" s="280"/>
      <c r="V521" s="280"/>
      <c r="W521" s="280"/>
      <c r="X521" s="280"/>
      <c r="Y521" s="280"/>
      <c r="Z521" s="280"/>
      <c r="AA521" s="280"/>
      <c r="AB521" s="280"/>
      <c r="AC521" s="280"/>
      <c r="AD521" s="280"/>
      <c r="AE521" s="280"/>
      <c r="AF521" s="280"/>
      <c r="AG521" s="280"/>
      <c r="AH521" s="280"/>
      <c r="AI521" s="280"/>
      <c r="AJ521" s="280"/>
      <c r="AK521" s="280"/>
      <c r="AL521" s="280"/>
      <c r="AM521" s="280"/>
      <c r="AN521" s="280"/>
      <c r="AO521" s="280"/>
      <c r="AP521" s="280"/>
      <c r="AQ521" s="280"/>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row>
    <row r="522" spans="2:74" x14ac:dyDescent="0.2">
      <c r="B522" s="280"/>
      <c r="D522" s="280"/>
      <c r="E522" s="280"/>
      <c r="F522" s="280"/>
      <c r="G522" s="280"/>
      <c r="H522" s="280"/>
      <c r="I522" s="280"/>
      <c r="J522" s="280"/>
      <c r="K522" s="280"/>
      <c r="L522" s="280"/>
      <c r="M522" s="280"/>
      <c r="N522" s="280"/>
      <c r="O522" s="280"/>
      <c r="P522" s="280"/>
      <c r="Q522" s="280"/>
      <c r="R522" s="280"/>
      <c r="S522" s="280"/>
      <c r="T522" s="280"/>
      <c r="U522" s="280"/>
      <c r="V522" s="280"/>
      <c r="W522" s="280"/>
      <c r="X522" s="280"/>
      <c r="Y522" s="280"/>
      <c r="Z522" s="280"/>
      <c r="AA522" s="280"/>
      <c r="AB522" s="280"/>
      <c r="AC522" s="280"/>
      <c r="AD522" s="280"/>
      <c r="AE522" s="280"/>
      <c r="AF522" s="280"/>
      <c r="AG522" s="280"/>
      <c r="AH522" s="280"/>
      <c r="AI522" s="280"/>
      <c r="AJ522" s="280"/>
      <c r="AK522" s="280"/>
      <c r="AL522" s="280"/>
      <c r="AM522" s="280"/>
      <c r="AN522" s="280"/>
      <c r="AO522" s="280"/>
      <c r="AP522" s="280"/>
      <c r="AQ522" s="280"/>
      <c r="AR522" s="280"/>
      <c r="AS522" s="280"/>
      <c r="AT522" s="280"/>
      <c r="AU522" s="280"/>
      <c r="AV522" s="280"/>
      <c r="AW522" s="280"/>
      <c r="AX522" s="280"/>
      <c r="AY522" s="280"/>
      <c r="AZ522" s="280"/>
      <c r="BA522" s="280"/>
      <c r="BB522" s="280"/>
      <c r="BC522" s="280"/>
      <c r="BD522" s="280"/>
      <c r="BE522" s="280"/>
      <c r="BF522" s="280"/>
      <c r="BG522" s="280"/>
      <c r="BH522" s="280"/>
      <c r="BI522" s="280"/>
      <c r="BJ522" s="280"/>
      <c r="BK522" s="280"/>
      <c r="BL522" s="280"/>
      <c r="BM522" s="280"/>
      <c r="BN522" s="280"/>
      <c r="BO522" s="280"/>
      <c r="BP522" s="280"/>
      <c r="BQ522" s="280"/>
      <c r="BR522" s="280"/>
      <c r="BS522" s="280"/>
      <c r="BT522" s="280"/>
      <c r="BU522" s="280"/>
      <c r="BV522" s="280"/>
    </row>
    <row r="523" spans="2:74" x14ac:dyDescent="0.2">
      <c r="B523" s="280"/>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c r="AA523" s="280"/>
      <c r="AB523" s="280"/>
      <c r="AC523" s="280"/>
      <c r="AD523" s="280"/>
      <c r="AE523" s="280"/>
      <c r="AF523" s="280"/>
      <c r="AG523" s="280"/>
      <c r="AH523" s="280"/>
      <c r="AI523" s="280"/>
      <c r="AJ523" s="280"/>
      <c r="AK523" s="280"/>
      <c r="AL523" s="280"/>
      <c r="AM523" s="280"/>
      <c r="AN523" s="280"/>
      <c r="AO523" s="280"/>
      <c r="AP523" s="280"/>
      <c r="AQ523" s="280"/>
      <c r="AR523" s="280"/>
      <c r="AS523" s="280"/>
      <c r="AT523" s="280"/>
      <c r="AU523" s="280"/>
      <c r="AV523" s="280"/>
      <c r="AW523" s="280"/>
      <c r="AX523" s="280"/>
      <c r="AY523" s="280"/>
      <c r="AZ523" s="280"/>
      <c r="BA523" s="280"/>
      <c r="BB523" s="280"/>
      <c r="BC523" s="280"/>
      <c r="BD523" s="280"/>
      <c r="BE523" s="280"/>
      <c r="BF523" s="280"/>
      <c r="BG523" s="280"/>
      <c r="BH523" s="280"/>
      <c r="BI523" s="280"/>
      <c r="BJ523" s="280"/>
      <c r="BK523" s="280"/>
      <c r="BL523" s="280"/>
      <c r="BM523" s="280"/>
      <c r="BN523" s="280"/>
      <c r="BO523" s="280"/>
      <c r="BP523" s="280"/>
      <c r="BQ523" s="280"/>
      <c r="BR523" s="280"/>
      <c r="BS523" s="280"/>
      <c r="BT523" s="280"/>
      <c r="BU523" s="280"/>
      <c r="BV523" s="280"/>
    </row>
    <row r="524" spans="2:74" x14ac:dyDescent="0.2">
      <c r="B524" s="280"/>
      <c r="D524" s="280"/>
      <c r="E524" s="280"/>
      <c r="F524" s="280"/>
      <c r="G524" s="280"/>
      <c r="H524" s="280"/>
      <c r="I524" s="280"/>
      <c r="J524" s="280"/>
      <c r="K524" s="280"/>
      <c r="L524" s="280"/>
      <c r="M524" s="280"/>
      <c r="N524" s="280"/>
      <c r="O524" s="280"/>
      <c r="P524" s="280"/>
      <c r="Q524" s="280"/>
      <c r="R524" s="280"/>
      <c r="S524" s="280"/>
      <c r="T524" s="280"/>
      <c r="U524" s="280"/>
      <c r="V524" s="280"/>
      <c r="W524" s="280"/>
      <c r="X524" s="280"/>
      <c r="Y524" s="280"/>
      <c r="Z524" s="280"/>
      <c r="AA524" s="280"/>
      <c r="AB524" s="280"/>
      <c r="AC524" s="280"/>
      <c r="AD524" s="280"/>
      <c r="AE524" s="280"/>
      <c r="AF524" s="280"/>
      <c r="AG524" s="280"/>
      <c r="AH524" s="280"/>
      <c r="AI524" s="280"/>
      <c r="AJ524" s="280"/>
      <c r="AK524" s="280"/>
      <c r="AL524" s="280"/>
      <c r="AM524" s="280"/>
      <c r="AN524" s="280"/>
      <c r="AO524" s="280"/>
      <c r="AP524" s="280"/>
      <c r="AQ524" s="280"/>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row>
    <row r="525" spans="2:74" x14ac:dyDescent="0.2">
      <c r="B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c r="AA525" s="280"/>
      <c r="AB525" s="280"/>
      <c r="AC525" s="280"/>
      <c r="AD525" s="280"/>
      <c r="AE525" s="280"/>
      <c r="AF525" s="280"/>
      <c r="AG525" s="280"/>
      <c r="AH525" s="280"/>
      <c r="AI525" s="280"/>
      <c r="AJ525" s="280"/>
      <c r="AK525" s="280"/>
      <c r="AL525" s="280"/>
      <c r="AM525" s="280"/>
      <c r="AN525" s="280"/>
      <c r="AO525" s="280"/>
      <c r="AP525" s="280"/>
      <c r="AQ525" s="280"/>
      <c r="AR525" s="280"/>
      <c r="AS525" s="280"/>
      <c r="AT525" s="280"/>
      <c r="AU525" s="280"/>
      <c r="AV525" s="280"/>
      <c r="AW525" s="280"/>
      <c r="AX525" s="280"/>
      <c r="AY525" s="280"/>
      <c r="AZ525" s="280"/>
      <c r="BA525" s="280"/>
      <c r="BB525" s="280"/>
      <c r="BC525" s="280"/>
      <c r="BD525" s="280"/>
      <c r="BE525" s="280"/>
      <c r="BF525" s="280"/>
      <c r="BG525" s="280"/>
      <c r="BH525" s="280"/>
      <c r="BI525" s="280"/>
      <c r="BJ525" s="280"/>
      <c r="BK525" s="280"/>
      <c r="BL525" s="280"/>
      <c r="BM525" s="280"/>
      <c r="BN525" s="280"/>
      <c r="BO525" s="280"/>
      <c r="BP525" s="280"/>
      <c r="BQ525" s="280"/>
      <c r="BR525" s="280"/>
      <c r="BS525" s="280"/>
      <c r="BT525" s="280"/>
      <c r="BU525" s="280"/>
      <c r="BV525" s="280"/>
    </row>
    <row r="526" spans="2:74" x14ac:dyDescent="0.2">
      <c r="B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c r="AA526" s="280"/>
      <c r="AB526" s="280"/>
      <c r="AC526" s="280"/>
      <c r="AD526" s="280"/>
      <c r="AE526" s="280"/>
      <c r="AF526" s="280"/>
      <c r="AG526" s="280"/>
      <c r="AH526" s="280"/>
      <c r="AI526" s="280"/>
      <c r="AJ526" s="280"/>
      <c r="AK526" s="280"/>
      <c r="AL526" s="280"/>
      <c r="AM526" s="280"/>
      <c r="AN526" s="280"/>
      <c r="AO526" s="280"/>
      <c r="AP526" s="280"/>
      <c r="AQ526" s="280"/>
      <c r="AR526" s="280"/>
      <c r="AS526" s="280"/>
      <c r="AT526" s="280"/>
      <c r="AU526" s="280"/>
      <c r="AV526" s="280"/>
      <c r="AW526" s="280"/>
      <c r="AX526" s="280"/>
      <c r="AY526" s="280"/>
      <c r="AZ526" s="280"/>
      <c r="BA526" s="280"/>
      <c r="BB526" s="280"/>
      <c r="BC526" s="280"/>
      <c r="BD526" s="280"/>
      <c r="BE526" s="280"/>
      <c r="BF526" s="280"/>
      <c r="BG526" s="280"/>
      <c r="BH526" s="280"/>
      <c r="BI526" s="280"/>
      <c r="BJ526" s="280"/>
      <c r="BK526" s="280"/>
      <c r="BL526" s="280"/>
      <c r="BM526" s="280"/>
      <c r="BN526" s="280"/>
      <c r="BO526" s="280"/>
      <c r="BP526" s="280"/>
      <c r="BQ526" s="280"/>
      <c r="BR526" s="280"/>
      <c r="BS526" s="280"/>
      <c r="BT526" s="280"/>
      <c r="BU526" s="280"/>
      <c r="BV526" s="280"/>
    </row>
    <row r="527" spans="2:74" x14ac:dyDescent="0.2">
      <c r="B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c r="AA527" s="280"/>
      <c r="AB527" s="280"/>
      <c r="AC527" s="280"/>
      <c r="AD527" s="280"/>
      <c r="AE527" s="280"/>
      <c r="AF527" s="280"/>
      <c r="AG527" s="280"/>
      <c r="AH527" s="280"/>
      <c r="AI527" s="280"/>
      <c r="AJ527" s="280"/>
      <c r="AK527" s="280"/>
      <c r="AL527" s="280"/>
      <c r="AM527" s="280"/>
      <c r="AN527" s="280"/>
      <c r="AO527" s="280"/>
      <c r="AP527" s="280"/>
      <c r="AQ527" s="280"/>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row>
    <row r="528" spans="2:74" x14ac:dyDescent="0.2">
      <c r="B528" s="280"/>
      <c r="D528" s="280"/>
      <c r="E528" s="280"/>
      <c r="F528" s="280"/>
      <c r="G528" s="280"/>
      <c r="H528" s="280"/>
      <c r="I528" s="280"/>
      <c r="J528" s="280"/>
      <c r="K528" s="280"/>
      <c r="L528" s="280"/>
      <c r="M528" s="280"/>
      <c r="N528" s="280"/>
      <c r="O528" s="280"/>
      <c r="P528" s="280"/>
      <c r="Q528" s="280"/>
      <c r="R528" s="280"/>
      <c r="S528" s="280"/>
      <c r="T528" s="280"/>
      <c r="U528" s="280"/>
      <c r="V528" s="280"/>
      <c r="W528" s="280"/>
      <c r="X528" s="280"/>
      <c r="Y528" s="280"/>
      <c r="Z528" s="280"/>
      <c r="AA528" s="280"/>
      <c r="AB528" s="280"/>
      <c r="AC528" s="280"/>
      <c r="AD528" s="280"/>
      <c r="AE528" s="280"/>
      <c r="AF528" s="280"/>
      <c r="AG528" s="280"/>
      <c r="AH528" s="280"/>
      <c r="AI528" s="280"/>
      <c r="AJ528" s="280"/>
      <c r="AK528" s="280"/>
      <c r="AL528" s="280"/>
      <c r="AM528" s="280"/>
      <c r="AN528" s="280"/>
      <c r="AO528" s="280"/>
      <c r="AP528" s="280"/>
      <c r="AQ528" s="280"/>
      <c r="AR528" s="280"/>
      <c r="AS528" s="280"/>
      <c r="AT528" s="280"/>
      <c r="AU528" s="280"/>
      <c r="AV528" s="280"/>
      <c r="AW528" s="280"/>
      <c r="AX528" s="280"/>
      <c r="AY528" s="280"/>
      <c r="AZ528" s="280"/>
      <c r="BA528" s="280"/>
      <c r="BB528" s="280"/>
      <c r="BC528" s="280"/>
      <c r="BD528" s="280"/>
      <c r="BE528" s="280"/>
      <c r="BF528" s="280"/>
      <c r="BG528" s="280"/>
      <c r="BH528" s="280"/>
      <c r="BI528" s="280"/>
      <c r="BJ528" s="280"/>
      <c r="BK528" s="280"/>
      <c r="BL528" s="280"/>
      <c r="BM528" s="280"/>
      <c r="BN528" s="280"/>
      <c r="BO528" s="280"/>
      <c r="BP528" s="280"/>
      <c r="BQ528" s="280"/>
      <c r="BR528" s="280"/>
      <c r="BS528" s="280"/>
      <c r="BT528" s="280"/>
      <c r="BU528" s="280"/>
      <c r="BV528" s="280"/>
    </row>
    <row r="529" spans="2:74" x14ac:dyDescent="0.2">
      <c r="B529" s="280"/>
      <c r="D529" s="280"/>
      <c r="E529" s="280"/>
      <c r="F529" s="280"/>
      <c r="G529" s="280"/>
      <c r="H529" s="280"/>
      <c r="I529" s="280"/>
      <c r="J529" s="280"/>
      <c r="K529" s="280"/>
      <c r="L529" s="280"/>
      <c r="M529" s="280"/>
      <c r="N529" s="280"/>
      <c r="O529" s="280"/>
      <c r="P529" s="280"/>
      <c r="Q529" s="280"/>
      <c r="R529" s="280"/>
      <c r="S529" s="280"/>
      <c r="T529" s="280"/>
      <c r="U529" s="280"/>
      <c r="V529" s="280"/>
      <c r="W529" s="280"/>
      <c r="X529" s="280"/>
      <c r="Y529" s="280"/>
      <c r="Z529" s="280"/>
      <c r="AA529" s="280"/>
      <c r="AB529" s="280"/>
      <c r="AC529" s="280"/>
      <c r="AD529" s="280"/>
      <c r="AE529" s="280"/>
      <c r="AF529" s="280"/>
      <c r="AG529" s="280"/>
      <c r="AH529" s="280"/>
      <c r="AI529" s="280"/>
      <c r="AJ529" s="280"/>
      <c r="AK529" s="280"/>
      <c r="AL529" s="280"/>
      <c r="AM529" s="280"/>
      <c r="AN529" s="280"/>
      <c r="AO529" s="280"/>
      <c r="AP529" s="280"/>
      <c r="AQ529" s="280"/>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row>
    <row r="530" spans="2:74" x14ac:dyDescent="0.2">
      <c r="B530" s="280"/>
      <c r="D530" s="280"/>
      <c r="E530" s="280"/>
      <c r="F530" s="280"/>
      <c r="G530" s="280"/>
      <c r="H530" s="280"/>
      <c r="I530" s="280"/>
      <c r="J530" s="280"/>
      <c r="K530" s="280"/>
      <c r="L530" s="280"/>
      <c r="M530" s="280"/>
      <c r="N530" s="280"/>
      <c r="O530" s="280"/>
      <c r="P530" s="280"/>
      <c r="Q530" s="280"/>
      <c r="R530" s="280"/>
      <c r="S530" s="280"/>
      <c r="T530" s="280"/>
      <c r="U530" s="280"/>
      <c r="V530" s="280"/>
      <c r="W530" s="280"/>
      <c r="X530" s="280"/>
      <c r="Y530" s="280"/>
      <c r="Z530" s="280"/>
      <c r="AA530" s="280"/>
      <c r="AB530" s="280"/>
      <c r="AC530" s="280"/>
      <c r="AD530" s="280"/>
      <c r="AE530" s="280"/>
      <c r="AF530" s="280"/>
      <c r="AG530" s="280"/>
      <c r="AH530" s="280"/>
      <c r="AI530" s="280"/>
      <c r="AJ530" s="280"/>
      <c r="AK530" s="280"/>
      <c r="AL530" s="280"/>
      <c r="AM530" s="280"/>
      <c r="AN530" s="280"/>
      <c r="AO530" s="280"/>
      <c r="AP530" s="280"/>
      <c r="AQ530" s="280"/>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row>
    <row r="531" spans="2:74" x14ac:dyDescent="0.2">
      <c r="B531" s="280"/>
      <c r="D531" s="280"/>
      <c r="E531" s="280"/>
      <c r="F531" s="280"/>
      <c r="G531" s="280"/>
      <c r="H531" s="280"/>
      <c r="I531" s="280"/>
      <c r="J531" s="280"/>
      <c r="K531" s="280"/>
      <c r="L531" s="280"/>
      <c r="M531" s="280"/>
      <c r="N531" s="280"/>
      <c r="O531" s="280"/>
      <c r="P531" s="280"/>
      <c r="Q531" s="280"/>
      <c r="R531" s="280"/>
      <c r="S531" s="280"/>
      <c r="T531" s="280"/>
      <c r="U531" s="280"/>
      <c r="V531" s="280"/>
      <c r="W531" s="280"/>
      <c r="X531" s="280"/>
      <c r="Y531" s="280"/>
      <c r="Z531" s="280"/>
      <c r="AA531" s="280"/>
      <c r="AB531" s="280"/>
      <c r="AC531" s="280"/>
      <c r="AD531" s="280"/>
      <c r="AE531" s="280"/>
      <c r="AF531" s="280"/>
      <c r="AG531" s="280"/>
      <c r="AH531" s="28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0"/>
      <c r="BI531" s="280"/>
      <c r="BJ531" s="280"/>
      <c r="BK531" s="280"/>
      <c r="BL531" s="280"/>
      <c r="BM531" s="280"/>
      <c r="BN531" s="280"/>
      <c r="BO531" s="280"/>
      <c r="BP531" s="280"/>
      <c r="BQ531" s="280"/>
      <c r="BR531" s="280"/>
      <c r="BS531" s="280"/>
      <c r="BT531" s="280"/>
      <c r="BU531" s="280"/>
      <c r="BV531" s="280"/>
    </row>
    <row r="532" spans="2:74" x14ac:dyDescent="0.2">
      <c r="B532" s="280"/>
      <c r="D532" s="280"/>
      <c r="E532" s="280"/>
      <c r="F532" s="280"/>
      <c r="G532" s="280"/>
      <c r="H532" s="280"/>
      <c r="I532" s="280"/>
      <c r="J532" s="280"/>
      <c r="K532" s="280"/>
      <c r="L532" s="280"/>
      <c r="M532" s="280"/>
      <c r="N532" s="280"/>
      <c r="O532" s="280"/>
      <c r="P532" s="280"/>
      <c r="Q532" s="280"/>
      <c r="R532" s="280"/>
      <c r="S532" s="280"/>
      <c r="T532" s="280"/>
      <c r="U532" s="280"/>
      <c r="V532" s="280"/>
      <c r="W532" s="280"/>
      <c r="X532" s="280"/>
      <c r="Y532" s="280"/>
      <c r="Z532" s="280"/>
      <c r="AA532" s="280"/>
      <c r="AB532" s="280"/>
      <c r="AC532" s="280"/>
      <c r="AD532" s="280"/>
      <c r="AE532" s="280"/>
      <c r="AF532" s="280"/>
      <c r="AG532" s="280"/>
      <c r="AH532" s="280"/>
      <c r="AI532" s="280"/>
      <c r="AJ532" s="280"/>
      <c r="AK532" s="280"/>
      <c r="AL532" s="280"/>
      <c r="AM532" s="280"/>
      <c r="AN532" s="280"/>
      <c r="AO532" s="280"/>
      <c r="AP532" s="280"/>
      <c r="AQ532" s="280"/>
      <c r="AR532" s="280"/>
      <c r="AS532" s="280"/>
      <c r="AT532" s="280"/>
      <c r="AU532" s="280"/>
      <c r="AV532" s="280"/>
      <c r="AW532" s="280"/>
      <c r="AX532" s="280"/>
      <c r="AY532" s="280"/>
      <c r="AZ532" s="280"/>
      <c r="BA532" s="280"/>
      <c r="BB532" s="280"/>
      <c r="BC532" s="280"/>
      <c r="BD532" s="280"/>
      <c r="BE532" s="280"/>
      <c r="BF532" s="280"/>
      <c r="BG532" s="280"/>
      <c r="BH532" s="280"/>
      <c r="BI532" s="280"/>
      <c r="BJ532" s="280"/>
      <c r="BK532" s="280"/>
      <c r="BL532" s="280"/>
      <c r="BM532" s="280"/>
      <c r="BN532" s="280"/>
      <c r="BO532" s="280"/>
      <c r="BP532" s="280"/>
      <c r="BQ532" s="280"/>
      <c r="BR532" s="280"/>
      <c r="BS532" s="280"/>
      <c r="BT532" s="280"/>
      <c r="BU532" s="280"/>
      <c r="BV532" s="280"/>
    </row>
    <row r="533" spans="2:74" x14ac:dyDescent="0.2">
      <c r="B533" s="280"/>
      <c r="D533" s="280"/>
      <c r="E533" s="280"/>
      <c r="F533" s="280"/>
      <c r="G533" s="280"/>
      <c r="H533" s="280"/>
      <c r="I533" s="280"/>
      <c r="J533" s="280"/>
      <c r="K533" s="280"/>
      <c r="L533" s="280"/>
      <c r="M533" s="280"/>
      <c r="N533" s="280"/>
      <c r="O533" s="280"/>
      <c r="P533" s="280"/>
      <c r="Q533" s="280"/>
      <c r="R533" s="280"/>
      <c r="S533" s="280"/>
      <c r="T533" s="280"/>
      <c r="U533" s="280"/>
      <c r="V533" s="280"/>
      <c r="W533" s="280"/>
      <c r="X533" s="280"/>
      <c r="Y533" s="280"/>
      <c r="Z533" s="280"/>
      <c r="AA533" s="280"/>
      <c r="AB533" s="280"/>
      <c r="AC533" s="280"/>
      <c r="AD533" s="280"/>
      <c r="AE533" s="280"/>
      <c r="AF533" s="280"/>
      <c r="AG533" s="280"/>
      <c r="AH533" s="280"/>
      <c r="AI533" s="280"/>
      <c r="AJ533" s="280"/>
      <c r="AK533" s="280"/>
      <c r="AL533" s="280"/>
      <c r="AM533" s="280"/>
      <c r="AN533" s="280"/>
      <c r="AO533" s="280"/>
      <c r="AP533" s="280"/>
      <c r="AQ533" s="280"/>
      <c r="AR533" s="280"/>
      <c r="AS533" s="280"/>
      <c r="AT533" s="280"/>
      <c r="AU533" s="280"/>
      <c r="AV533" s="280"/>
      <c r="AW533" s="280"/>
      <c r="AX533" s="280"/>
      <c r="AY533" s="280"/>
      <c r="AZ533" s="280"/>
      <c r="BA533" s="280"/>
      <c r="BB533" s="280"/>
      <c r="BC533" s="280"/>
      <c r="BD533" s="280"/>
      <c r="BE533" s="280"/>
      <c r="BF533" s="280"/>
      <c r="BG533" s="280"/>
      <c r="BH533" s="280"/>
      <c r="BI533" s="280"/>
      <c r="BJ533" s="280"/>
      <c r="BK533" s="280"/>
      <c r="BL533" s="280"/>
      <c r="BM533" s="280"/>
      <c r="BN533" s="280"/>
      <c r="BO533" s="280"/>
      <c r="BP533" s="280"/>
      <c r="BQ533" s="280"/>
      <c r="BR533" s="280"/>
      <c r="BS533" s="280"/>
      <c r="BT533" s="280"/>
      <c r="BU533" s="280"/>
      <c r="BV533" s="280"/>
    </row>
    <row r="534" spans="2:74" x14ac:dyDescent="0.2">
      <c r="B534" s="280"/>
      <c r="D534" s="280"/>
      <c r="E534" s="280"/>
      <c r="F534" s="280"/>
      <c r="G534" s="280"/>
      <c r="H534" s="280"/>
      <c r="I534" s="280"/>
      <c r="J534" s="280"/>
      <c r="K534" s="280"/>
      <c r="L534" s="280"/>
      <c r="M534" s="280"/>
      <c r="N534" s="280"/>
      <c r="O534" s="280"/>
      <c r="P534" s="280"/>
      <c r="Q534" s="280"/>
      <c r="R534" s="280"/>
      <c r="S534" s="280"/>
      <c r="T534" s="280"/>
      <c r="U534" s="280"/>
      <c r="V534" s="280"/>
      <c r="W534" s="280"/>
      <c r="X534" s="280"/>
      <c r="Y534" s="280"/>
      <c r="Z534" s="280"/>
      <c r="AA534" s="280"/>
      <c r="AB534" s="280"/>
      <c r="AC534" s="280"/>
      <c r="AD534" s="280"/>
      <c r="AE534" s="280"/>
      <c r="AF534" s="280"/>
      <c r="AG534" s="280"/>
      <c r="AH534" s="280"/>
      <c r="AI534" s="280"/>
      <c r="AJ534" s="280"/>
      <c r="AK534" s="280"/>
      <c r="AL534" s="280"/>
      <c r="AM534" s="280"/>
      <c r="AN534" s="280"/>
      <c r="AO534" s="280"/>
      <c r="AP534" s="280"/>
      <c r="AQ534" s="280"/>
      <c r="AR534" s="280"/>
      <c r="AS534" s="280"/>
      <c r="AT534" s="280"/>
      <c r="AU534" s="280"/>
      <c r="AV534" s="280"/>
      <c r="AW534" s="280"/>
      <c r="AX534" s="280"/>
      <c r="AY534" s="280"/>
      <c r="AZ534" s="280"/>
      <c r="BA534" s="280"/>
      <c r="BB534" s="280"/>
      <c r="BC534" s="280"/>
      <c r="BD534" s="280"/>
      <c r="BE534" s="280"/>
      <c r="BF534" s="280"/>
      <c r="BG534" s="280"/>
      <c r="BH534" s="280"/>
      <c r="BI534" s="280"/>
      <c r="BJ534" s="280"/>
      <c r="BK534" s="280"/>
      <c r="BL534" s="280"/>
      <c r="BM534" s="280"/>
      <c r="BN534" s="280"/>
      <c r="BO534" s="280"/>
      <c r="BP534" s="280"/>
      <c r="BQ534" s="280"/>
      <c r="BR534" s="280"/>
      <c r="BS534" s="280"/>
      <c r="BT534" s="280"/>
      <c r="BU534" s="280"/>
      <c r="BV534" s="280"/>
    </row>
    <row r="535" spans="2:74" x14ac:dyDescent="0.2">
      <c r="B535" s="280"/>
      <c r="D535" s="280"/>
      <c r="E535" s="280"/>
      <c r="F535" s="280"/>
      <c r="G535" s="280"/>
      <c r="H535" s="280"/>
      <c r="I535" s="280"/>
      <c r="J535" s="280"/>
      <c r="K535" s="280"/>
      <c r="L535" s="280"/>
      <c r="M535" s="280"/>
      <c r="N535" s="280"/>
      <c r="O535" s="280"/>
      <c r="P535" s="280"/>
      <c r="Q535" s="280"/>
      <c r="R535" s="280"/>
      <c r="S535" s="280"/>
      <c r="T535" s="280"/>
      <c r="U535" s="280"/>
      <c r="V535" s="280"/>
      <c r="W535" s="280"/>
      <c r="X535" s="280"/>
      <c r="Y535" s="280"/>
      <c r="Z535" s="280"/>
      <c r="AA535" s="280"/>
      <c r="AB535" s="280"/>
      <c r="AC535" s="280"/>
      <c r="AD535" s="280"/>
      <c r="AE535" s="280"/>
      <c r="AF535" s="280"/>
      <c r="AG535" s="280"/>
      <c r="AH535" s="280"/>
      <c r="AI535" s="280"/>
      <c r="AJ535" s="280"/>
      <c r="AK535" s="280"/>
      <c r="AL535" s="280"/>
      <c r="AM535" s="280"/>
      <c r="AN535" s="280"/>
      <c r="AO535" s="280"/>
      <c r="AP535" s="280"/>
      <c r="AQ535" s="280"/>
      <c r="AR535" s="280"/>
      <c r="AS535" s="280"/>
      <c r="AT535" s="280"/>
      <c r="AU535" s="280"/>
      <c r="AV535" s="280"/>
      <c r="AW535" s="280"/>
      <c r="AX535" s="280"/>
      <c r="AY535" s="280"/>
      <c r="AZ535" s="280"/>
      <c r="BA535" s="280"/>
      <c r="BB535" s="280"/>
      <c r="BC535" s="280"/>
      <c r="BD535" s="280"/>
      <c r="BE535" s="280"/>
      <c r="BF535" s="280"/>
      <c r="BG535" s="280"/>
      <c r="BH535" s="280"/>
      <c r="BI535" s="280"/>
      <c r="BJ535" s="280"/>
      <c r="BK535" s="280"/>
      <c r="BL535" s="280"/>
      <c r="BM535" s="280"/>
      <c r="BN535" s="280"/>
      <c r="BO535" s="280"/>
      <c r="BP535" s="280"/>
      <c r="BQ535" s="280"/>
      <c r="BR535" s="280"/>
      <c r="BS535" s="280"/>
      <c r="BT535" s="280"/>
      <c r="BU535" s="280"/>
      <c r="BV535" s="280"/>
    </row>
    <row r="536" spans="2:74" x14ac:dyDescent="0.2">
      <c r="B536" s="280"/>
      <c r="D536" s="280"/>
      <c r="E536" s="280"/>
      <c r="F536" s="280"/>
      <c r="G536" s="280"/>
      <c r="H536" s="280"/>
      <c r="I536" s="280"/>
      <c r="J536" s="280"/>
      <c r="K536" s="280"/>
      <c r="L536" s="280"/>
      <c r="M536" s="280"/>
      <c r="N536" s="280"/>
      <c r="O536" s="280"/>
      <c r="P536" s="280"/>
      <c r="Q536" s="280"/>
      <c r="R536" s="280"/>
      <c r="S536" s="280"/>
      <c r="T536" s="280"/>
      <c r="U536" s="280"/>
      <c r="V536" s="280"/>
      <c r="W536" s="280"/>
      <c r="X536" s="280"/>
      <c r="Y536" s="280"/>
      <c r="Z536" s="280"/>
      <c r="AA536" s="280"/>
      <c r="AB536" s="280"/>
      <c r="AC536" s="280"/>
      <c r="AD536" s="280"/>
      <c r="AE536" s="280"/>
      <c r="AF536" s="280"/>
      <c r="AG536" s="280"/>
      <c r="AH536" s="280"/>
      <c r="AI536" s="280"/>
      <c r="AJ536" s="280"/>
      <c r="AK536" s="280"/>
      <c r="AL536" s="280"/>
      <c r="AM536" s="280"/>
      <c r="AN536" s="280"/>
      <c r="AO536" s="280"/>
      <c r="AP536" s="280"/>
      <c r="AQ536" s="280"/>
      <c r="AR536" s="280"/>
      <c r="AS536" s="280"/>
      <c r="AT536" s="280"/>
      <c r="AU536" s="280"/>
      <c r="AV536" s="280"/>
      <c r="AW536" s="280"/>
      <c r="AX536" s="280"/>
      <c r="AY536" s="280"/>
      <c r="AZ536" s="280"/>
      <c r="BA536" s="280"/>
      <c r="BB536" s="280"/>
      <c r="BC536" s="280"/>
      <c r="BD536" s="280"/>
      <c r="BE536" s="280"/>
      <c r="BF536" s="280"/>
      <c r="BG536" s="280"/>
      <c r="BH536" s="280"/>
      <c r="BI536" s="280"/>
      <c r="BJ536" s="280"/>
      <c r="BK536" s="280"/>
      <c r="BL536" s="280"/>
      <c r="BM536" s="280"/>
      <c r="BN536" s="280"/>
      <c r="BO536" s="280"/>
      <c r="BP536" s="280"/>
      <c r="BQ536" s="280"/>
      <c r="BR536" s="280"/>
      <c r="BS536" s="280"/>
      <c r="BT536" s="280"/>
      <c r="BU536" s="280"/>
      <c r="BV536" s="280"/>
    </row>
    <row r="537" spans="2:74" x14ac:dyDescent="0.2">
      <c r="B537" s="280"/>
      <c r="D537" s="280"/>
      <c r="E537" s="280"/>
      <c r="F537" s="280"/>
      <c r="G537" s="280"/>
      <c r="H537" s="280"/>
      <c r="I537" s="280"/>
      <c r="J537" s="280"/>
      <c r="K537" s="280"/>
      <c r="L537" s="280"/>
      <c r="M537" s="280"/>
      <c r="N537" s="280"/>
      <c r="O537" s="280"/>
      <c r="P537" s="280"/>
      <c r="Q537" s="280"/>
      <c r="R537" s="280"/>
      <c r="S537" s="280"/>
      <c r="T537" s="280"/>
      <c r="U537" s="280"/>
      <c r="V537" s="280"/>
      <c r="W537" s="280"/>
      <c r="X537" s="280"/>
      <c r="Y537" s="280"/>
      <c r="Z537" s="280"/>
      <c r="AA537" s="280"/>
      <c r="AB537" s="280"/>
      <c r="AC537" s="280"/>
      <c r="AD537" s="280"/>
      <c r="AE537" s="280"/>
      <c r="AF537" s="280"/>
      <c r="AG537" s="280"/>
      <c r="AH537" s="280"/>
      <c r="AI537" s="280"/>
      <c r="AJ537" s="280"/>
      <c r="AK537" s="280"/>
      <c r="AL537" s="280"/>
      <c r="AM537" s="280"/>
      <c r="AN537" s="280"/>
      <c r="AO537" s="280"/>
      <c r="AP537" s="280"/>
      <c r="AQ537" s="280"/>
      <c r="AR537" s="280"/>
      <c r="AS537" s="280"/>
      <c r="AT537" s="280"/>
      <c r="AU537" s="280"/>
      <c r="AV537" s="280"/>
      <c r="AW537" s="280"/>
      <c r="AX537" s="280"/>
      <c r="AY537" s="280"/>
      <c r="AZ537" s="280"/>
      <c r="BA537" s="280"/>
      <c r="BB537" s="280"/>
      <c r="BC537" s="280"/>
      <c r="BD537" s="280"/>
      <c r="BE537" s="280"/>
      <c r="BF537" s="280"/>
      <c r="BG537" s="280"/>
      <c r="BH537" s="280"/>
      <c r="BI537" s="280"/>
      <c r="BJ537" s="280"/>
      <c r="BK537" s="280"/>
      <c r="BL537" s="280"/>
      <c r="BM537" s="280"/>
      <c r="BN537" s="280"/>
      <c r="BO537" s="280"/>
      <c r="BP537" s="280"/>
      <c r="BQ537" s="280"/>
      <c r="BR537" s="280"/>
      <c r="BS537" s="280"/>
      <c r="BT537" s="280"/>
      <c r="BU537" s="280"/>
      <c r="BV537" s="280"/>
    </row>
    <row r="538" spans="2:74" x14ac:dyDescent="0.2">
      <c r="B538" s="280"/>
      <c r="D538" s="280"/>
      <c r="E538" s="280"/>
      <c r="F538" s="280"/>
      <c r="G538" s="280"/>
      <c r="H538" s="280"/>
      <c r="I538" s="280"/>
      <c r="J538" s="280"/>
      <c r="K538" s="280"/>
      <c r="L538" s="280"/>
      <c r="M538" s="280"/>
      <c r="N538" s="280"/>
      <c r="O538" s="280"/>
      <c r="P538" s="280"/>
      <c r="Q538" s="280"/>
      <c r="R538" s="280"/>
      <c r="S538" s="280"/>
      <c r="T538" s="280"/>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0"/>
      <c r="AY538" s="280"/>
      <c r="AZ538" s="280"/>
      <c r="BA538" s="280"/>
      <c r="BB538" s="280"/>
      <c r="BC538" s="280"/>
      <c r="BD538" s="280"/>
      <c r="BE538" s="280"/>
      <c r="BF538" s="280"/>
      <c r="BG538" s="280"/>
      <c r="BH538" s="280"/>
      <c r="BI538" s="280"/>
      <c r="BJ538" s="280"/>
      <c r="BK538" s="280"/>
      <c r="BL538" s="280"/>
      <c r="BM538" s="280"/>
      <c r="BN538" s="280"/>
      <c r="BO538" s="280"/>
      <c r="BP538" s="280"/>
      <c r="BQ538" s="280"/>
      <c r="BR538" s="280"/>
      <c r="BS538" s="280"/>
      <c r="BT538" s="280"/>
      <c r="BU538" s="280"/>
      <c r="BV538" s="280"/>
    </row>
    <row r="539" spans="2:74" x14ac:dyDescent="0.2">
      <c r="B539" s="280"/>
      <c r="D539" s="280"/>
      <c r="E539" s="280"/>
      <c r="F539" s="280"/>
      <c r="G539" s="280"/>
      <c r="H539" s="280"/>
      <c r="I539" s="280"/>
      <c r="J539" s="280"/>
      <c r="K539" s="280"/>
      <c r="L539" s="280"/>
      <c r="M539" s="280"/>
      <c r="N539" s="280"/>
      <c r="O539" s="280"/>
      <c r="P539" s="280"/>
      <c r="Q539" s="280"/>
      <c r="R539" s="280"/>
      <c r="S539" s="280"/>
      <c r="T539" s="280"/>
      <c r="U539" s="280"/>
      <c r="V539" s="280"/>
      <c r="W539" s="280"/>
      <c r="X539" s="280"/>
      <c r="Y539" s="280"/>
      <c r="Z539" s="280"/>
      <c r="AA539" s="280"/>
      <c r="AB539" s="280"/>
      <c r="AC539" s="280"/>
      <c r="AD539" s="280"/>
      <c r="AE539" s="280"/>
      <c r="AF539" s="280"/>
      <c r="AG539" s="280"/>
      <c r="AH539" s="280"/>
      <c r="AI539" s="280"/>
      <c r="AJ539" s="280"/>
      <c r="AK539" s="280"/>
      <c r="AL539" s="280"/>
      <c r="AM539" s="280"/>
      <c r="AN539" s="280"/>
      <c r="AO539" s="280"/>
      <c r="AP539" s="280"/>
      <c r="AQ539" s="280"/>
      <c r="AR539" s="280"/>
      <c r="AS539" s="280"/>
      <c r="AT539" s="280"/>
      <c r="AU539" s="280"/>
      <c r="AV539" s="280"/>
      <c r="AW539" s="280"/>
      <c r="AX539" s="280"/>
      <c r="AY539" s="280"/>
      <c r="AZ539" s="280"/>
      <c r="BA539" s="280"/>
      <c r="BB539" s="280"/>
      <c r="BC539" s="280"/>
      <c r="BD539" s="280"/>
      <c r="BE539" s="280"/>
      <c r="BF539" s="280"/>
      <c r="BG539" s="280"/>
      <c r="BH539" s="280"/>
      <c r="BI539" s="280"/>
      <c r="BJ539" s="280"/>
      <c r="BK539" s="280"/>
      <c r="BL539" s="280"/>
      <c r="BM539" s="280"/>
      <c r="BN539" s="280"/>
      <c r="BO539" s="280"/>
      <c r="BP539" s="280"/>
      <c r="BQ539" s="280"/>
      <c r="BR539" s="280"/>
      <c r="BS539" s="280"/>
      <c r="BT539" s="280"/>
      <c r="BU539" s="280"/>
      <c r="BV539" s="280"/>
    </row>
    <row r="540" spans="2:74" x14ac:dyDescent="0.2">
      <c r="B540" s="280"/>
      <c r="D540" s="280"/>
      <c r="E540" s="280"/>
      <c r="F540" s="280"/>
      <c r="G540" s="280"/>
      <c r="H540" s="280"/>
      <c r="I540" s="280"/>
      <c r="J540" s="280"/>
      <c r="K540" s="280"/>
      <c r="L540" s="280"/>
      <c r="M540" s="280"/>
      <c r="N540" s="280"/>
      <c r="O540" s="280"/>
      <c r="P540" s="280"/>
      <c r="Q540" s="280"/>
      <c r="R540" s="280"/>
      <c r="S540" s="280"/>
      <c r="T540" s="280"/>
      <c r="U540" s="280"/>
      <c r="V540" s="280"/>
      <c r="W540" s="280"/>
      <c r="X540" s="280"/>
      <c r="Y540" s="280"/>
      <c r="Z540" s="280"/>
      <c r="AA540" s="280"/>
      <c r="AB540" s="280"/>
      <c r="AC540" s="280"/>
      <c r="AD540" s="280"/>
      <c r="AE540" s="280"/>
      <c r="AF540" s="280"/>
      <c r="AG540" s="280"/>
      <c r="AH540" s="280"/>
      <c r="AI540" s="280"/>
      <c r="AJ540" s="280"/>
      <c r="AK540" s="280"/>
      <c r="AL540" s="280"/>
      <c r="AM540" s="280"/>
      <c r="AN540" s="280"/>
      <c r="AO540" s="280"/>
      <c r="AP540" s="280"/>
      <c r="AQ540" s="280"/>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row>
    <row r="541" spans="2:74" x14ac:dyDescent="0.2">
      <c r="B541" s="280"/>
      <c r="D541" s="280"/>
      <c r="E541" s="280"/>
      <c r="F541" s="280"/>
      <c r="G541" s="280"/>
      <c r="H541" s="280"/>
      <c r="I541" s="280"/>
      <c r="J541" s="280"/>
      <c r="K541" s="280"/>
      <c r="L541" s="280"/>
      <c r="M541" s="280"/>
      <c r="N541" s="280"/>
      <c r="O541" s="280"/>
      <c r="P541" s="280"/>
      <c r="Q541" s="280"/>
      <c r="R541" s="280"/>
      <c r="S541" s="280"/>
      <c r="T541" s="280"/>
      <c r="U541" s="280"/>
      <c r="V541" s="280"/>
      <c r="W541" s="280"/>
      <c r="X541" s="280"/>
      <c r="Y541" s="280"/>
      <c r="Z541" s="280"/>
      <c r="AA541" s="280"/>
      <c r="AB541" s="280"/>
      <c r="AC541" s="280"/>
      <c r="AD541" s="280"/>
      <c r="AE541" s="280"/>
      <c r="AF541" s="280"/>
      <c r="AG541" s="280"/>
      <c r="AH541" s="280"/>
      <c r="AI541" s="280"/>
      <c r="AJ541" s="280"/>
      <c r="AK541" s="280"/>
      <c r="AL541" s="280"/>
      <c r="AM541" s="280"/>
      <c r="AN541" s="280"/>
      <c r="AO541" s="280"/>
      <c r="AP541" s="280"/>
      <c r="AQ541" s="280"/>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row>
    <row r="542" spans="2:74" x14ac:dyDescent="0.2">
      <c r="B542" s="280"/>
      <c r="D542" s="280"/>
      <c r="E542" s="280"/>
      <c r="F542" s="280"/>
      <c r="G542" s="280"/>
      <c r="H542" s="280"/>
      <c r="I542" s="280"/>
      <c r="J542" s="280"/>
      <c r="K542" s="280"/>
      <c r="L542" s="280"/>
      <c r="M542" s="280"/>
      <c r="N542" s="280"/>
      <c r="O542" s="280"/>
      <c r="P542" s="280"/>
      <c r="Q542" s="280"/>
      <c r="R542" s="280"/>
      <c r="S542" s="280"/>
      <c r="T542" s="280"/>
      <c r="U542" s="280"/>
      <c r="V542" s="280"/>
      <c r="W542" s="280"/>
      <c r="X542" s="280"/>
      <c r="Y542" s="280"/>
      <c r="Z542" s="280"/>
      <c r="AA542" s="280"/>
      <c r="AB542" s="280"/>
      <c r="AC542" s="280"/>
      <c r="AD542" s="280"/>
      <c r="AE542" s="280"/>
      <c r="AF542" s="280"/>
      <c r="AG542" s="280"/>
      <c r="AH542" s="280"/>
      <c r="AI542" s="280"/>
      <c r="AJ542" s="280"/>
      <c r="AK542" s="280"/>
      <c r="AL542" s="280"/>
      <c r="AM542" s="280"/>
      <c r="AN542" s="280"/>
      <c r="AO542" s="280"/>
      <c r="AP542" s="280"/>
      <c r="AQ542" s="280"/>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row>
    <row r="543" spans="2:74" x14ac:dyDescent="0.2">
      <c r="B543" s="280"/>
      <c r="D543" s="280"/>
      <c r="E543" s="280"/>
      <c r="F543" s="280"/>
      <c r="G543" s="280"/>
      <c r="H543" s="280"/>
      <c r="I543" s="280"/>
      <c r="J543" s="280"/>
      <c r="K543" s="280"/>
      <c r="L543" s="280"/>
      <c r="M543" s="280"/>
      <c r="N543" s="280"/>
      <c r="O543" s="280"/>
      <c r="P543" s="280"/>
      <c r="Q543" s="280"/>
      <c r="R543" s="280"/>
      <c r="S543" s="280"/>
      <c r="T543" s="280"/>
      <c r="U543" s="280"/>
      <c r="V543" s="280"/>
      <c r="W543" s="280"/>
      <c r="X543" s="280"/>
      <c r="Y543" s="280"/>
      <c r="Z543" s="280"/>
      <c r="AA543" s="280"/>
      <c r="AB543" s="280"/>
      <c r="AC543" s="280"/>
      <c r="AD543" s="280"/>
      <c r="AE543" s="280"/>
      <c r="AF543" s="280"/>
      <c r="AG543" s="280"/>
      <c r="AH543" s="280"/>
      <c r="AI543" s="280"/>
      <c r="AJ543" s="280"/>
      <c r="AK543" s="280"/>
      <c r="AL543" s="280"/>
      <c r="AM543" s="280"/>
      <c r="AN543" s="280"/>
      <c r="AO543" s="280"/>
      <c r="AP543" s="280"/>
      <c r="AQ543" s="280"/>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row>
    <row r="544" spans="2:74" x14ac:dyDescent="0.2">
      <c r="B544" s="280"/>
      <c r="D544" s="280"/>
      <c r="E544" s="280"/>
      <c r="F544" s="280"/>
      <c r="G544" s="280"/>
      <c r="H544" s="280"/>
      <c r="I544" s="280"/>
      <c r="J544" s="280"/>
      <c r="K544" s="280"/>
      <c r="L544" s="280"/>
      <c r="M544" s="280"/>
      <c r="N544" s="280"/>
      <c r="O544" s="280"/>
      <c r="P544" s="280"/>
      <c r="Q544" s="280"/>
      <c r="R544" s="280"/>
      <c r="S544" s="280"/>
      <c r="T544" s="280"/>
      <c r="U544" s="280"/>
      <c r="V544" s="280"/>
      <c r="W544" s="280"/>
      <c r="X544" s="280"/>
      <c r="Y544" s="280"/>
      <c r="Z544" s="280"/>
      <c r="AA544" s="280"/>
      <c r="AB544" s="280"/>
      <c r="AC544" s="280"/>
      <c r="AD544" s="280"/>
      <c r="AE544" s="280"/>
      <c r="AF544" s="280"/>
      <c r="AG544" s="280"/>
      <c r="AH544" s="280"/>
      <c r="AI544" s="280"/>
      <c r="AJ544" s="280"/>
      <c r="AK544" s="280"/>
      <c r="AL544" s="280"/>
      <c r="AM544" s="280"/>
      <c r="AN544" s="280"/>
      <c r="AO544" s="280"/>
      <c r="AP544" s="280"/>
      <c r="AQ544" s="280"/>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row>
    <row r="545" spans="2:74" x14ac:dyDescent="0.2">
      <c r="B545" s="280"/>
      <c r="D545" s="280"/>
      <c r="E545" s="280"/>
      <c r="F545" s="280"/>
      <c r="G545" s="280"/>
      <c r="H545" s="280"/>
      <c r="I545" s="280"/>
      <c r="J545" s="280"/>
      <c r="K545" s="280"/>
      <c r="L545" s="280"/>
      <c r="M545" s="280"/>
      <c r="N545" s="280"/>
      <c r="O545" s="280"/>
      <c r="P545" s="280"/>
      <c r="Q545" s="280"/>
      <c r="R545" s="280"/>
      <c r="S545" s="280"/>
      <c r="T545" s="280"/>
      <c r="U545" s="280"/>
      <c r="V545" s="280"/>
      <c r="W545" s="280"/>
      <c r="X545" s="280"/>
      <c r="Y545" s="280"/>
      <c r="Z545" s="280"/>
      <c r="AA545" s="280"/>
      <c r="AB545" s="280"/>
      <c r="AC545" s="280"/>
      <c r="AD545" s="280"/>
      <c r="AE545" s="280"/>
      <c r="AF545" s="280"/>
      <c r="AG545" s="280"/>
      <c r="AH545" s="280"/>
      <c r="AI545" s="280"/>
      <c r="AJ545" s="280"/>
      <c r="AK545" s="280"/>
      <c r="AL545" s="280"/>
      <c r="AM545" s="280"/>
      <c r="AN545" s="280"/>
      <c r="AO545" s="280"/>
      <c r="AP545" s="280"/>
      <c r="AQ545" s="280"/>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row>
    <row r="546" spans="2:74" x14ac:dyDescent="0.2">
      <c r="B546" s="280"/>
      <c r="D546" s="280"/>
      <c r="E546" s="280"/>
      <c r="F546" s="280"/>
      <c r="G546" s="280"/>
      <c r="H546" s="280"/>
      <c r="I546" s="280"/>
      <c r="J546" s="280"/>
      <c r="K546" s="280"/>
      <c r="L546" s="280"/>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c r="AH546" s="280"/>
      <c r="AI546" s="280"/>
      <c r="AJ546" s="280"/>
      <c r="AK546" s="280"/>
      <c r="AL546" s="280"/>
      <c r="AM546" s="280"/>
      <c r="AN546" s="280"/>
      <c r="AO546" s="280"/>
      <c r="AP546" s="280"/>
      <c r="AQ546" s="280"/>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c r="BO546" s="280"/>
      <c r="BP546" s="280"/>
      <c r="BQ546" s="280"/>
      <c r="BR546" s="280"/>
      <c r="BS546" s="280"/>
      <c r="BT546" s="280"/>
      <c r="BU546" s="280"/>
      <c r="BV546" s="280"/>
    </row>
    <row r="547" spans="2:74" x14ac:dyDescent="0.2">
      <c r="B547" s="280"/>
      <c r="D547" s="280"/>
      <c r="E547" s="280"/>
      <c r="F547" s="280"/>
      <c r="G547" s="280"/>
      <c r="H547" s="280"/>
      <c r="I547" s="280"/>
      <c r="J547" s="280"/>
      <c r="K547" s="280"/>
      <c r="L547" s="280"/>
      <c r="M547" s="280"/>
      <c r="N547" s="280"/>
      <c r="O547" s="280"/>
      <c r="P547" s="280"/>
      <c r="Q547" s="280"/>
      <c r="R547" s="280"/>
      <c r="S547" s="280"/>
      <c r="T547" s="280"/>
      <c r="U547" s="280"/>
      <c r="V547" s="280"/>
      <c r="W547" s="280"/>
      <c r="X547" s="280"/>
      <c r="Y547" s="280"/>
      <c r="Z547" s="280"/>
      <c r="AA547" s="280"/>
      <c r="AB547" s="280"/>
      <c r="AC547" s="280"/>
      <c r="AD547" s="280"/>
      <c r="AE547" s="280"/>
      <c r="AF547" s="280"/>
      <c r="AG547" s="280"/>
      <c r="AH547" s="280"/>
      <c r="AI547" s="280"/>
      <c r="AJ547" s="280"/>
      <c r="AK547" s="280"/>
      <c r="AL547" s="280"/>
      <c r="AM547" s="280"/>
      <c r="AN547" s="280"/>
      <c r="AO547" s="280"/>
      <c r="AP547" s="280"/>
      <c r="AQ547" s="280"/>
      <c r="AR547" s="280"/>
      <c r="AS547" s="280"/>
      <c r="AT547" s="280"/>
      <c r="AU547" s="280"/>
      <c r="AV547" s="280"/>
      <c r="AW547" s="280"/>
      <c r="AX547" s="280"/>
      <c r="AY547" s="280"/>
      <c r="AZ547" s="280"/>
      <c r="BA547" s="280"/>
      <c r="BB547" s="280"/>
      <c r="BC547" s="280"/>
      <c r="BD547" s="280"/>
      <c r="BE547" s="280"/>
      <c r="BF547" s="280"/>
      <c r="BG547" s="280"/>
      <c r="BH547" s="280"/>
      <c r="BI547" s="280"/>
      <c r="BJ547" s="280"/>
      <c r="BK547" s="280"/>
      <c r="BL547" s="280"/>
      <c r="BM547" s="280"/>
      <c r="BN547" s="280"/>
      <c r="BO547" s="280"/>
      <c r="BP547" s="280"/>
      <c r="BQ547" s="280"/>
      <c r="BR547" s="280"/>
      <c r="BS547" s="280"/>
      <c r="BT547" s="280"/>
      <c r="BU547" s="280"/>
      <c r="BV547" s="280"/>
    </row>
    <row r="548" spans="2:74" x14ac:dyDescent="0.2">
      <c r="B548" s="280"/>
      <c r="D548" s="280"/>
      <c r="E548" s="280"/>
      <c r="F548" s="280"/>
      <c r="G548" s="280"/>
      <c r="H548" s="280"/>
      <c r="I548" s="280"/>
      <c r="J548" s="280"/>
      <c r="K548" s="280"/>
      <c r="L548" s="280"/>
      <c r="M548" s="280"/>
      <c r="N548" s="280"/>
      <c r="O548" s="280"/>
      <c r="P548" s="280"/>
      <c r="Q548" s="280"/>
      <c r="R548" s="280"/>
      <c r="S548" s="280"/>
      <c r="T548" s="280"/>
      <c r="U548" s="280"/>
      <c r="V548" s="280"/>
      <c r="W548" s="280"/>
      <c r="X548" s="280"/>
      <c r="Y548" s="280"/>
      <c r="Z548" s="280"/>
      <c r="AA548" s="280"/>
      <c r="AB548" s="280"/>
      <c r="AC548" s="280"/>
      <c r="AD548" s="280"/>
      <c r="AE548" s="280"/>
      <c r="AF548" s="280"/>
      <c r="AG548" s="280"/>
      <c r="AH548" s="280"/>
      <c r="AI548" s="280"/>
      <c r="AJ548" s="280"/>
      <c r="AK548" s="280"/>
      <c r="AL548" s="280"/>
      <c r="AM548" s="280"/>
      <c r="AN548" s="280"/>
      <c r="AO548" s="280"/>
      <c r="AP548" s="280"/>
      <c r="AQ548" s="280"/>
      <c r="AR548" s="280"/>
      <c r="AS548" s="280"/>
      <c r="AT548" s="280"/>
      <c r="AU548" s="280"/>
      <c r="AV548" s="280"/>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row>
    <row r="549" spans="2:74" x14ac:dyDescent="0.2">
      <c r="B549" s="280"/>
      <c r="D549" s="280"/>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c r="AA549" s="280"/>
      <c r="AB549" s="280"/>
      <c r="AC549" s="280"/>
      <c r="AD549" s="280"/>
      <c r="AE549" s="280"/>
      <c r="AF549" s="280"/>
      <c r="AG549" s="280"/>
      <c r="AH549" s="280"/>
      <c r="AI549" s="280"/>
      <c r="AJ549" s="280"/>
      <c r="AK549" s="280"/>
      <c r="AL549" s="280"/>
      <c r="AM549" s="280"/>
      <c r="AN549" s="280"/>
      <c r="AO549" s="280"/>
      <c r="AP549" s="280"/>
      <c r="AQ549" s="280"/>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row>
    <row r="550" spans="2:74" x14ac:dyDescent="0.2">
      <c r="B550" s="280"/>
      <c r="D550" s="280"/>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c r="AA550" s="280"/>
      <c r="AB550" s="280"/>
      <c r="AC550" s="280"/>
      <c r="AD550" s="280"/>
      <c r="AE550" s="280"/>
      <c r="AF550" s="280"/>
      <c r="AG550" s="280"/>
      <c r="AH550" s="280"/>
      <c r="AI550" s="280"/>
      <c r="AJ550" s="280"/>
      <c r="AK550" s="280"/>
      <c r="AL550" s="280"/>
      <c r="AM550" s="280"/>
      <c r="AN550" s="280"/>
      <c r="AO550" s="280"/>
      <c r="AP550" s="280"/>
      <c r="AQ550" s="280"/>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row>
    <row r="551" spans="2:74" x14ac:dyDescent="0.2">
      <c r="B551" s="280"/>
      <c r="D551" s="280"/>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c r="AA551" s="280"/>
      <c r="AB551" s="280"/>
      <c r="AC551" s="280"/>
      <c r="AD551" s="280"/>
      <c r="AE551" s="280"/>
      <c r="AF551" s="280"/>
      <c r="AG551" s="280"/>
      <c r="AH551" s="280"/>
      <c r="AI551" s="280"/>
      <c r="AJ551" s="280"/>
      <c r="AK551" s="280"/>
      <c r="AL551" s="280"/>
      <c r="AM551" s="280"/>
      <c r="AN551" s="280"/>
      <c r="AO551" s="280"/>
      <c r="AP551" s="280"/>
      <c r="AQ551" s="280"/>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row>
    <row r="552" spans="2:74" x14ac:dyDescent="0.2">
      <c r="B552" s="280"/>
      <c r="D552" s="280"/>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80"/>
      <c r="AC552" s="280"/>
      <c r="AD552" s="280"/>
      <c r="AE552" s="280"/>
      <c r="AF552" s="280"/>
      <c r="AG552" s="280"/>
      <c r="AH552" s="280"/>
      <c r="AI552" s="280"/>
      <c r="AJ552" s="280"/>
      <c r="AK552" s="280"/>
      <c r="AL552" s="280"/>
      <c r="AM552" s="280"/>
      <c r="AN552" s="280"/>
      <c r="AO552" s="280"/>
      <c r="AP552" s="280"/>
      <c r="AQ552" s="280"/>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row>
    <row r="553" spans="2:74" x14ac:dyDescent="0.2">
      <c r="B553" s="280"/>
      <c r="D553" s="280"/>
      <c r="E553" s="280"/>
      <c r="F553" s="280"/>
      <c r="G553" s="280"/>
      <c r="H553" s="280"/>
      <c r="I553" s="280"/>
      <c r="J553" s="280"/>
      <c r="K553" s="280"/>
      <c r="L553" s="280"/>
      <c r="M553" s="280"/>
      <c r="N553" s="280"/>
      <c r="O553" s="280"/>
      <c r="P553" s="280"/>
      <c r="Q553" s="280"/>
      <c r="R553" s="280"/>
      <c r="S553" s="280"/>
      <c r="T553" s="280"/>
      <c r="U553" s="280"/>
      <c r="V553" s="280"/>
      <c r="W553" s="280"/>
      <c r="X553" s="280"/>
      <c r="Y553" s="280"/>
      <c r="Z553" s="280"/>
      <c r="AA553" s="280"/>
      <c r="AB553" s="280"/>
      <c r="AC553" s="280"/>
      <c r="AD553" s="280"/>
      <c r="AE553" s="280"/>
      <c r="AF553" s="280"/>
      <c r="AG553" s="280"/>
      <c r="AH553" s="280"/>
      <c r="AI553" s="280"/>
      <c r="AJ553" s="280"/>
      <c r="AK553" s="280"/>
      <c r="AL553" s="280"/>
      <c r="AM553" s="280"/>
      <c r="AN553" s="280"/>
      <c r="AO553" s="280"/>
      <c r="AP553" s="280"/>
      <c r="AQ553" s="280"/>
      <c r="AR553" s="280"/>
      <c r="AS553" s="280"/>
      <c r="AT553" s="280"/>
      <c r="AU553" s="280"/>
      <c r="AV553" s="280"/>
      <c r="AW553" s="280"/>
      <c r="AX553" s="280"/>
      <c r="AY553" s="280"/>
      <c r="AZ553" s="280"/>
      <c r="BA553" s="280"/>
      <c r="BB553" s="280"/>
      <c r="BC553" s="280"/>
      <c r="BD553" s="280"/>
      <c r="BE553" s="280"/>
      <c r="BF553" s="280"/>
      <c r="BG553" s="280"/>
      <c r="BH553" s="280"/>
      <c r="BI553" s="280"/>
      <c r="BJ553" s="280"/>
      <c r="BK553" s="280"/>
      <c r="BL553" s="280"/>
      <c r="BM553" s="280"/>
      <c r="BN553" s="280"/>
      <c r="BO553" s="280"/>
      <c r="BP553" s="280"/>
      <c r="BQ553" s="280"/>
      <c r="BR553" s="280"/>
      <c r="BS553" s="280"/>
      <c r="BT553" s="280"/>
      <c r="BU553" s="280"/>
      <c r="BV553" s="280"/>
    </row>
    <row r="554" spans="2:74" x14ac:dyDescent="0.2">
      <c r="B554" s="280"/>
      <c r="D554" s="280"/>
      <c r="E554" s="280"/>
      <c r="F554" s="280"/>
      <c r="G554" s="280"/>
      <c r="H554" s="280"/>
      <c r="I554" s="280"/>
      <c r="J554" s="280"/>
      <c r="K554" s="280"/>
      <c r="L554" s="280"/>
      <c r="M554" s="280"/>
      <c r="N554" s="280"/>
      <c r="O554" s="280"/>
      <c r="P554" s="280"/>
      <c r="Q554" s="280"/>
      <c r="R554" s="280"/>
      <c r="S554" s="280"/>
      <c r="T554" s="280"/>
      <c r="U554" s="280"/>
      <c r="V554" s="280"/>
      <c r="W554" s="280"/>
      <c r="X554" s="280"/>
      <c r="Y554" s="280"/>
      <c r="Z554" s="280"/>
      <c r="AA554" s="280"/>
      <c r="AB554" s="280"/>
      <c r="AC554" s="280"/>
      <c r="AD554" s="280"/>
      <c r="AE554" s="280"/>
      <c r="AF554" s="280"/>
      <c r="AG554" s="280"/>
      <c r="AH554" s="280"/>
      <c r="AI554" s="280"/>
      <c r="AJ554" s="280"/>
      <c r="AK554" s="280"/>
      <c r="AL554" s="280"/>
      <c r="AM554" s="280"/>
      <c r="AN554" s="280"/>
      <c r="AO554" s="280"/>
      <c r="AP554" s="280"/>
      <c r="AQ554" s="280"/>
      <c r="AR554" s="280"/>
      <c r="AS554" s="280"/>
      <c r="AT554" s="280"/>
      <c r="AU554" s="280"/>
      <c r="AV554" s="280"/>
      <c r="AW554" s="280"/>
      <c r="AX554" s="280"/>
      <c r="AY554" s="280"/>
      <c r="AZ554" s="280"/>
      <c r="BA554" s="280"/>
      <c r="BB554" s="280"/>
      <c r="BC554" s="280"/>
      <c r="BD554" s="280"/>
      <c r="BE554" s="280"/>
      <c r="BF554" s="280"/>
      <c r="BG554" s="280"/>
      <c r="BH554" s="280"/>
      <c r="BI554" s="280"/>
      <c r="BJ554" s="280"/>
      <c r="BK554" s="280"/>
      <c r="BL554" s="280"/>
      <c r="BM554" s="280"/>
      <c r="BN554" s="280"/>
      <c r="BO554" s="280"/>
      <c r="BP554" s="280"/>
      <c r="BQ554" s="280"/>
      <c r="BR554" s="280"/>
      <c r="BS554" s="280"/>
      <c r="BT554" s="280"/>
      <c r="BU554" s="280"/>
      <c r="BV554" s="280"/>
    </row>
    <row r="555" spans="2:74" x14ac:dyDescent="0.2">
      <c r="B555" s="280"/>
      <c r="D555" s="280"/>
      <c r="E555" s="280"/>
      <c r="F555" s="280"/>
      <c r="G555" s="280"/>
      <c r="H555" s="280"/>
      <c r="I555" s="280"/>
      <c r="J555" s="280"/>
      <c r="K555" s="280"/>
      <c r="L555" s="280"/>
      <c r="M555" s="280"/>
      <c r="N555" s="280"/>
      <c r="O555" s="280"/>
      <c r="P555" s="280"/>
      <c r="Q555" s="280"/>
      <c r="R555" s="280"/>
      <c r="S555" s="280"/>
      <c r="T555" s="280"/>
      <c r="U555" s="280"/>
      <c r="V555" s="280"/>
      <c r="W555" s="280"/>
      <c r="X555" s="280"/>
      <c r="Y555" s="280"/>
      <c r="Z555" s="280"/>
      <c r="AA555" s="280"/>
      <c r="AB555" s="280"/>
      <c r="AC555" s="280"/>
      <c r="AD555" s="280"/>
      <c r="AE555" s="280"/>
      <c r="AF555" s="280"/>
      <c r="AG555" s="280"/>
      <c r="AH555" s="280"/>
      <c r="AI555" s="280"/>
      <c r="AJ555" s="280"/>
      <c r="AK555" s="280"/>
      <c r="AL555" s="280"/>
      <c r="AM555" s="280"/>
      <c r="AN555" s="280"/>
      <c r="AO555" s="280"/>
      <c r="AP555" s="280"/>
      <c r="AQ555" s="280"/>
      <c r="AR555" s="280"/>
      <c r="AS555" s="280"/>
      <c r="AT555" s="280"/>
      <c r="AU555" s="280"/>
      <c r="AV555" s="280"/>
      <c r="AW555" s="280"/>
      <c r="AX555" s="280"/>
      <c r="AY555" s="280"/>
      <c r="AZ555" s="280"/>
      <c r="BA555" s="280"/>
      <c r="BB555" s="280"/>
      <c r="BC555" s="280"/>
      <c r="BD555" s="280"/>
      <c r="BE555" s="280"/>
      <c r="BF555" s="280"/>
      <c r="BG555" s="280"/>
      <c r="BH555" s="280"/>
      <c r="BI555" s="280"/>
      <c r="BJ555" s="280"/>
      <c r="BK555" s="280"/>
      <c r="BL555" s="280"/>
      <c r="BM555" s="280"/>
      <c r="BN555" s="280"/>
      <c r="BO555" s="280"/>
      <c r="BP555" s="280"/>
      <c r="BQ555" s="280"/>
      <c r="BR555" s="280"/>
      <c r="BS555" s="280"/>
      <c r="BT555" s="280"/>
      <c r="BU555" s="280"/>
      <c r="BV555" s="280"/>
    </row>
    <row r="556" spans="2:74" x14ac:dyDescent="0.2">
      <c r="B556" s="280"/>
      <c r="D556" s="280"/>
      <c r="E556" s="280"/>
      <c r="F556" s="280"/>
      <c r="G556" s="280"/>
      <c r="H556" s="280"/>
      <c r="I556" s="280"/>
      <c r="J556" s="280"/>
      <c r="K556" s="280"/>
      <c r="L556" s="280"/>
      <c r="M556" s="280"/>
      <c r="N556" s="280"/>
      <c r="O556" s="280"/>
      <c r="P556" s="280"/>
      <c r="Q556" s="280"/>
      <c r="R556" s="280"/>
      <c r="S556" s="280"/>
      <c r="T556" s="280"/>
      <c r="U556" s="280"/>
      <c r="V556" s="280"/>
      <c r="W556" s="280"/>
      <c r="X556" s="280"/>
      <c r="Y556" s="280"/>
      <c r="Z556" s="280"/>
      <c r="AA556" s="280"/>
      <c r="AB556" s="280"/>
      <c r="AC556" s="280"/>
      <c r="AD556" s="280"/>
      <c r="AE556" s="280"/>
      <c r="AF556" s="280"/>
      <c r="AG556" s="280"/>
      <c r="AH556" s="280"/>
      <c r="AI556" s="280"/>
      <c r="AJ556" s="280"/>
      <c r="AK556" s="280"/>
      <c r="AL556" s="280"/>
      <c r="AM556" s="280"/>
      <c r="AN556" s="280"/>
      <c r="AO556" s="280"/>
      <c r="AP556" s="280"/>
      <c r="AQ556" s="280"/>
      <c r="AR556" s="280"/>
      <c r="AS556" s="280"/>
      <c r="AT556" s="280"/>
      <c r="AU556" s="280"/>
      <c r="AV556" s="280"/>
      <c r="AW556" s="280"/>
      <c r="AX556" s="280"/>
      <c r="AY556" s="280"/>
      <c r="AZ556" s="280"/>
      <c r="BA556" s="280"/>
      <c r="BB556" s="280"/>
      <c r="BC556" s="280"/>
      <c r="BD556" s="280"/>
      <c r="BE556" s="280"/>
      <c r="BF556" s="280"/>
      <c r="BG556" s="280"/>
      <c r="BH556" s="280"/>
      <c r="BI556" s="280"/>
      <c r="BJ556" s="280"/>
      <c r="BK556" s="280"/>
      <c r="BL556" s="280"/>
      <c r="BM556" s="280"/>
      <c r="BN556" s="280"/>
      <c r="BO556" s="280"/>
      <c r="BP556" s="280"/>
      <c r="BQ556" s="280"/>
      <c r="BR556" s="280"/>
      <c r="BS556" s="280"/>
      <c r="BT556" s="280"/>
      <c r="BU556" s="280"/>
      <c r="BV556" s="280"/>
    </row>
    <row r="557" spans="2:74" x14ac:dyDescent="0.2">
      <c r="B557" s="280"/>
      <c r="D557" s="280"/>
      <c r="E557" s="280"/>
      <c r="F557" s="280"/>
      <c r="G557" s="280"/>
      <c r="H557" s="280"/>
      <c r="I557" s="280"/>
      <c r="J557" s="280"/>
      <c r="K557" s="280"/>
      <c r="L557" s="280"/>
      <c r="M557" s="280"/>
      <c r="N557" s="280"/>
      <c r="O557" s="280"/>
      <c r="P557" s="280"/>
      <c r="Q557" s="280"/>
      <c r="R557" s="280"/>
      <c r="S557" s="280"/>
      <c r="T557" s="280"/>
      <c r="U557" s="280"/>
      <c r="V557" s="280"/>
      <c r="W557" s="280"/>
      <c r="X557" s="280"/>
      <c r="Y557" s="280"/>
      <c r="Z557" s="280"/>
      <c r="AA557" s="280"/>
      <c r="AB557" s="280"/>
      <c r="AC557" s="280"/>
      <c r="AD557" s="280"/>
      <c r="AE557" s="280"/>
      <c r="AF557" s="280"/>
      <c r="AG557" s="280"/>
      <c r="AH557" s="280"/>
      <c r="AI557" s="280"/>
      <c r="AJ557" s="280"/>
      <c r="AK557" s="280"/>
      <c r="AL557" s="280"/>
      <c r="AM557" s="280"/>
      <c r="AN557" s="280"/>
      <c r="AO557" s="280"/>
      <c r="AP557" s="280"/>
      <c r="AQ557" s="280"/>
      <c r="AR557" s="280"/>
      <c r="AS557" s="280"/>
      <c r="AT557" s="280"/>
      <c r="AU557" s="280"/>
      <c r="AV557" s="280"/>
      <c r="AW557" s="280"/>
      <c r="AX557" s="280"/>
      <c r="AY557" s="280"/>
      <c r="AZ557" s="280"/>
      <c r="BA557" s="280"/>
      <c r="BB557" s="280"/>
      <c r="BC557" s="280"/>
      <c r="BD557" s="280"/>
      <c r="BE557" s="280"/>
      <c r="BF557" s="280"/>
      <c r="BG557" s="280"/>
      <c r="BH557" s="280"/>
      <c r="BI557" s="280"/>
      <c r="BJ557" s="280"/>
      <c r="BK557" s="280"/>
      <c r="BL557" s="280"/>
      <c r="BM557" s="280"/>
      <c r="BN557" s="280"/>
      <c r="BO557" s="280"/>
      <c r="BP557" s="280"/>
      <c r="BQ557" s="280"/>
      <c r="BR557" s="280"/>
      <c r="BS557" s="280"/>
      <c r="BT557" s="280"/>
      <c r="BU557" s="280"/>
      <c r="BV557" s="280"/>
    </row>
    <row r="558" spans="2:74" x14ac:dyDescent="0.2">
      <c r="B558" s="280"/>
      <c r="D558" s="280"/>
      <c r="E558" s="280"/>
      <c r="F558" s="280"/>
      <c r="G558" s="280"/>
      <c r="H558" s="280"/>
      <c r="I558" s="280"/>
      <c r="J558" s="280"/>
      <c r="K558" s="280"/>
      <c r="L558" s="280"/>
      <c r="M558" s="280"/>
      <c r="N558" s="280"/>
      <c r="O558" s="280"/>
      <c r="P558" s="280"/>
      <c r="Q558" s="280"/>
      <c r="R558" s="280"/>
      <c r="S558" s="280"/>
      <c r="T558" s="280"/>
      <c r="U558" s="280"/>
      <c r="V558" s="280"/>
      <c r="W558" s="280"/>
      <c r="X558" s="280"/>
      <c r="Y558" s="280"/>
      <c r="Z558" s="280"/>
      <c r="AA558" s="280"/>
      <c r="AB558" s="280"/>
      <c r="AC558" s="280"/>
      <c r="AD558" s="280"/>
      <c r="AE558" s="280"/>
      <c r="AF558" s="280"/>
      <c r="AG558" s="280"/>
      <c r="AH558" s="280"/>
      <c r="AI558" s="280"/>
      <c r="AJ558" s="280"/>
      <c r="AK558" s="280"/>
      <c r="AL558" s="280"/>
      <c r="AM558" s="280"/>
      <c r="AN558" s="280"/>
      <c r="AO558" s="280"/>
      <c r="AP558" s="280"/>
      <c r="AQ558" s="280"/>
      <c r="AR558" s="280"/>
      <c r="AS558" s="280"/>
      <c r="AT558" s="280"/>
      <c r="AU558" s="280"/>
      <c r="AV558" s="280"/>
      <c r="AW558" s="280"/>
      <c r="AX558" s="280"/>
      <c r="AY558" s="280"/>
      <c r="AZ558" s="280"/>
      <c r="BA558" s="280"/>
      <c r="BB558" s="280"/>
      <c r="BC558" s="280"/>
      <c r="BD558" s="280"/>
      <c r="BE558" s="280"/>
      <c r="BF558" s="280"/>
      <c r="BG558" s="280"/>
      <c r="BH558" s="280"/>
      <c r="BI558" s="280"/>
      <c r="BJ558" s="280"/>
      <c r="BK558" s="280"/>
      <c r="BL558" s="280"/>
      <c r="BM558" s="280"/>
      <c r="BN558" s="280"/>
      <c r="BO558" s="280"/>
      <c r="BP558" s="280"/>
      <c r="BQ558" s="280"/>
      <c r="BR558" s="280"/>
      <c r="BS558" s="280"/>
      <c r="BT558" s="280"/>
      <c r="BU558" s="280"/>
      <c r="BV558" s="280"/>
    </row>
    <row r="559" spans="2:74" x14ac:dyDescent="0.2">
      <c r="B559" s="280"/>
      <c r="D559" s="280"/>
      <c r="E559" s="280"/>
      <c r="F559" s="280"/>
      <c r="G559" s="280"/>
      <c r="H559" s="280"/>
      <c r="I559" s="280"/>
      <c r="J559" s="280"/>
      <c r="K559" s="280"/>
      <c r="L559" s="280"/>
      <c r="M559" s="280"/>
      <c r="N559" s="280"/>
      <c r="O559" s="280"/>
      <c r="P559" s="280"/>
      <c r="Q559" s="280"/>
      <c r="R559" s="280"/>
      <c r="S559" s="280"/>
      <c r="T559" s="280"/>
      <c r="U559" s="280"/>
      <c r="V559" s="280"/>
      <c r="W559" s="280"/>
      <c r="X559" s="280"/>
      <c r="Y559" s="280"/>
      <c r="Z559" s="280"/>
      <c r="AA559" s="280"/>
      <c r="AB559" s="280"/>
      <c r="AC559" s="280"/>
      <c r="AD559" s="280"/>
      <c r="AE559" s="280"/>
      <c r="AF559" s="280"/>
      <c r="AG559" s="280"/>
      <c r="AH559" s="280"/>
      <c r="AI559" s="280"/>
      <c r="AJ559" s="280"/>
      <c r="AK559" s="280"/>
      <c r="AL559" s="280"/>
      <c r="AM559" s="280"/>
      <c r="AN559" s="280"/>
      <c r="AO559" s="280"/>
      <c r="AP559" s="280"/>
      <c r="AQ559" s="280"/>
      <c r="AR559" s="280"/>
      <c r="AS559" s="280"/>
      <c r="AT559" s="280"/>
      <c r="AU559" s="280"/>
      <c r="AV559" s="280"/>
      <c r="AW559" s="280"/>
      <c r="AX559" s="280"/>
      <c r="AY559" s="280"/>
      <c r="AZ559" s="280"/>
      <c r="BA559" s="280"/>
      <c r="BB559" s="280"/>
      <c r="BC559" s="280"/>
      <c r="BD559" s="280"/>
      <c r="BE559" s="280"/>
      <c r="BF559" s="280"/>
      <c r="BG559" s="280"/>
      <c r="BH559" s="280"/>
      <c r="BI559" s="280"/>
      <c r="BJ559" s="280"/>
      <c r="BK559" s="280"/>
      <c r="BL559" s="280"/>
      <c r="BM559" s="280"/>
      <c r="BN559" s="280"/>
      <c r="BO559" s="280"/>
      <c r="BP559" s="280"/>
      <c r="BQ559" s="280"/>
      <c r="BR559" s="280"/>
      <c r="BS559" s="280"/>
      <c r="BT559" s="280"/>
      <c r="BU559" s="280"/>
      <c r="BV559" s="280"/>
    </row>
    <row r="560" spans="2:74" x14ac:dyDescent="0.2">
      <c r="B560" s="280"/>
      <c r="D560" s="280"/>
      <c r="E560" s="280"/>
      <c r="F560" s="280"/>
      <c r="G560" s="280"/>
      <c r="H560" s="280"/>
      <c r="I560" s="280"/>
      <c r="J560" s="280"/>
      <c r="K560" s="280"/>
      <c r="L560" s="280"/>
      <c r="M560" s="280"/>
      <c r="N560" s="280"/>
      <c r="O560" s="280"/>
      <c r="P560" s="280"/>
      <c r="Q560" s="280"/>
      <c r="R560" s="280"/>
      <c r="S560" s="280"/>
      <c r="T560" s="280"/>
      <c r="U560" s="280"/>
      <c r="V560" s="280"/>
      <c r="W560" s="280"/>
      <c r="X560" s="280"/>
      <c r="Y560" s="280"/>
      <c r="Z560" s="280"/>
      <c r="AA560" s="280"/>
      <c r="AB560" s="280"/>
      <c r="AC560" s="280"/>
      <c r="AD560" s="280"/>
      <c r="AE560" s="280"/>
      <c r="AF560" s="280"/>
      <c r="AG560" s="280"/>
      <c r="AH560" s="280"/>
      <c r="AI560" s="280"/>
      <c r="AJ560" s="280"/>
      <c r="AK560" s="280"/>
      <c r="AL560" s="280"/>
      <c r="AM560" s="280"/>
      <c r="AN560" s="280"/>
      <c r="AO560" s="280"/>
      <c r="AP560" s="280"/>
      <c r="AQ560" s="280"/>
      <c r="AR560" s="280"/>
      <c r="AS560" s="280"/>
      <c r="AT560" s="280"/>
      <c r="AU560" s="280"/>
      <c r="AV560" s="280"/>
      <c r="AW560" s="280"/>
      <c r="AX560" s="280"/>
      <c r="AY560" s="280"/>
      <c r="AZ560" s="280"/>
      <c r="BA560" s="280"/>
      <c r="BB560" s="280"/>
      <c r="BC560" s="280"/>
      <c r="BD560" s="280"/>
      <c r="BE560" s="280"/>
      <c r="BF560" s="280"/>
      <c r="BG560" s="280"/>
      <c r="BH560" s="280"/>
      <c r="BI560" s="280"/>
      <c r="BJ560" s="280"/>
      <c r="BK560" s="280"/>
      <c r="BL560" s="280"/>
      <c r="BM560" s="280"/>
      <c r="BN560" s="280"/>
      <c r="BO560" s="280"/>
      <c r="BP560" s="280"/>
      <c r="BQ560" s="280"/>
      <c r="BR560" s="280"/>
      <c r="BS560" s="280"/>
      <c r="BT560" s="280"/>
      <c r="BU560" s="280"/>
      <c r="BV560" s="280"/>
    </row>
    <row r="561" spans="2:74" x14ac:dyDescent="0.2">
      <c r="B561" s="280"/>
      <c r="D561" s="280"/>
      <c r="E561" s="280"/>
      <c r="F561" s="280"/>
      <c r="G561" s="280"/>
      <c r="H561" s="280"/>
      <c r="I561" s="280"/>
      <c r="J561" s="280"/>
      <c r="K561" s="280"/>
      <c r="L561" s="280"/>
      <c r="M561" s="280"/>
      <c r="N561" s="280"/>
      <c r="O561" s="280"/>
      <c r="P561" s="280"/>
      <c r="Q561" s="280"/>
      <c r="R561" s="280"/>
      <c r="S561" s="280"/>
      <c r="T561" s="280"/>
      <c r="U561" s="280"/>
      <c r="V561" s="280"/>
      <c r="W561" s="280"/>
      <c r="X561" s="280"/>
      <c r="Y561" s="280"/>
      <c r="Z561" s="280"/>
      <c r="AA561" s="280"/>
      <c r="AB561" s="280"/>
      <c r="AC561" s="280"/>
      <c r="AD561" s="280"/>
      <c r="AE561" s="280"/>
      <c r="AF561" s="280"/>
      <c r="AG561" s="280"/>
      <c r="AH561" s="280"/>
      <c r="AI561" s="280"/>
      <c r="AJ561" s="280"/>
      <c r="AK561" s="280"/>
      <c r="AL561" s="280"/>
      <c r="AM561" s="280"/>
      <c r="AN561" s="280"/>
      <c r="AO561" s="280"/>
      <c r="AP561" s="280"/>
      <c r="AQ561" s="280"/>
      <c r="AR561" s="280"/>
      <c r="AS561" s="280"/>
      <c r="AT561" s="280"/>
      <c r="AU561" s="280"/>
      <c r="AV561" s="280"/>
      <c r="AW561" s="280"/>
      <c r="AX561" s="280"/>
      <c r="AY561" s="280"/>
      <c r="AZ561" s="280"/>
      <c r="BA561" s="280"/>
      <c r="BB561" s="280"/>
      <c r="BC561" s="280"/>
      <c r="BD561" s="280"/>
      <c r="BE561" s="280"/>
      <c r="BF561" s="280"/>
      <c r="BG561" s="280"/>
      <c r="BH561" s="280"/>
      <c r="BI561" s="280"/>
      <c r="BJ561" s="280"/>
      <c r="BK561" s="280"/>
      <c r="BL561" s="280"/>
      <c r="BM561" s="280"/>
      <c r="BN561" s="280"/>
      <c r="BO561" s="280"/>
      <c r="BP561" s="280"/>
      <c r="BQ561" s="280"/>
      <c r="BR561" s="280"/>
      <c r="BS561" s="280"/>
      <c r="BT561" s="280"/>
      <c r="BU561" s="280"/>
      <c r="BV561" s="280"/>
    </row>
    <row r="562" spans="2:74" x14ac:dyDescent="0.2">
      <c r="B562" s="280"/>
      <c r="D562" s="280"/>
      <c r="E562" s="280"/>
      <c r="F562" s="280"/>
      <c r="G562" s="280"/>
      <c r="H562" s="280"/>
      <c r="I562" s="280"/>
      <c r="J562" s="280"/>
      <c r="K562" s="280"/>
      <c r="L562" s="280"/>
      <c r="M562" s="280"/>
      <c r="N562" s="280"/>
      <c r="O562" s="280"/>
      <c r="P562" s="280"/>
      <c r="Q562" s="280"/>
      <c r="R562" s="280"/>
      <c r="S562" s="280"/>
      <c r="T562" s="280"/>
      <c r="U562" s="280"/>
      <c r="V562" s="280"/>
      <c r="W562" s="280"/>
      <c r="X562" s="280"/>
      <c r="Y562" s="280"/>
      <c r="Z562" s="280"/>
      <c r="AA562" s="280"/>
      <c r="AB562" s="280"/>
      <c r="AC562" s="280"/>
      <c r="AD562" s="280"/>
      <c r="AE562" s="280"/>
      <c r="AF562" s="280"/>
      <c r="AG562" s="280"/>
      <c r="AH562" s="280"/>
      <c r="AI562" s="280"/>
      <c r="AJ562" s="280"/>
      <c r="AK562" s="280"/>
      <c r="AL562" s="280"/>
      <c r="AM562" s="280"/>
      <c r="AN562" s="280"/>
      <c r="AO562" s="280"/>
      <c r="AP562" s="280"/>
      <c r="AQ562" s="280"/>
      <c r="AR562" s="280"/>
      <c r="AS562" s="280"/>
      <c r="AT562" s="280"/>
      <c r="AU562" s="280"/>
      <c r="AV562" s="280"/>
      <c r="AW562" s="280"/>
      <c r="AX562" s="280"/>
      <c r="AY562" s="280"/>
      <c r="AZ562" s="280"/>
      <c r="BA562" s="280"/>
      <c r="BB562" s="280"/>
      <c r="BC562" s="280"/>
      <c r="BD562" s="280"/>
      <c r="BE562" s="280"/>
      <c r="BF562" s="280"/>
      <c r="BG562" s="280"/>
      <c r="BH562" s="280"/>
      <c r="BI562" s="280"/>
      <c r="BJ562" s="280"/>
      <c r="BK562" s="280"/>
      <c r="BL562" s="280"/>
      <c r="BM562" s="280"/>
      <c r="BN562" s="280"/>
      <c r="BO562" s="280"/>
      <c r="BP562" s="280"/>
      <c r="BQ562" s="280"/>
      <c r="BR562" s="280"/>
      <c r="BS562" s="280"/>
      <c r="BT562" s="280"/>
      <c r="BU562" s="280"/>
      <c r="BV562" s="280"/>
    </row>
    <row r="563" spans="2:74" x14ac:dyDescent="0.2">
      <c r="B563" s="280"/>
      <c r="D563" s="280"/>
      <c r="E563" s="280"/>
      <c r="F563" s="280"/>
      <c r="G563" s="280"/>
      <c r="H563" s="280"/>
      <c r="I563" s="280"/>
      <c r="J563" s="280"/>
      <c r="K563" s="280"/>
      <c r="L563" s="280"/>
      <c r="M563" s="280"/>
      <c r="N563" s="280"/>
      <c r="O563" s="280"/>
      <c r="P563" s="280"/>
      <c r="Q563" s="280"/>
      <c r="R563" s="280"/>
      <c r="S563" s="280"/>
      <c r="T563" s="280"/>
      <c r="U563" s="280"/>
      <c r="V563" s="280"/>
      <c r="W563" s="280"/>
      <c r="X563" s="280"/>
      <c r="Y563" s="280"/>
      <c r="Z563" s="280"/>
      <c r="AA563" s="280"/>
      <c r="AB563" s="280"/>
      <c r="AC563" s="280"/>
      <c r="AD563" s="280"/>
      <c r="AE563" s="280"/>
      <c r="AF563" s="280"/>
      <c r="AG563" s="280"/>
      <c r="AH563" s="280"/>
      <c r="AI563" s="280"/>
      <c r="AJ563" s="280"/>
      <c r="AK563" s="280"/>
      <c r="AL563" s="280"/>
      <c r="AM563" s="280"/>
      <c r="AN563" s="280"/>
      <c r="AO563" s="280"/>
      <c r="AP563" s="280"/>
      <c r="AQ563" s="280"/>
      <c r="AR563" s="280"/>
      <c r="AS563" s="280"/>
      <c r="AT563" s="280"/>
      <c r="AU563" s="280"/>
      <c r="AV563" s="280"/>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row>
    <row r="564" spans="2:74" x14ac:dyDescent="0.2">
      <c r="B564" s="280"/>
      <c r="D564" s="280"/>
      <c r="E564" s="280"/>
      <c r="F564" s="280"/>
      <c r="G564" s="280"/>
      <c r="H564" s="280"/>
      <c r="I564" s="280"/>
      <c r="J564" s="280"/>
      <c r="K564" s="280"/>
      <c r="L564" s="280"/>
      <c r="M564" s="280"/>
      <c r="N564" s="280"/>
      <c r="O564" s="280"/>
      <c r="P564" s="280"/>
      <c r="Q564" s="280"/>
      <c r="R564" s="280"/>
      <c r="S564" s="280"/>
      <c r="T564" s="280"/>
      <c r="U564" s="280"/>
      <c r="V564" s="280"/>
      <c r="W564" s="280"/>
      <c r="X564" s="280"/>
      <c r="Y564" s="280"/>
      <c r="Z564" s="280"/>
      <c r="AA564" s="280"/>
      <c r="AB564" s="280"/>
      <c r="AC564" s="280"/>
      <c r="AD564" s="280"/>
      <c r="AE564" s="280"/>
      <c r="AF564" s="280"/>
      <c r="AG564" s="280"/>
      <c r="AH564" s="280"/>
      <c r="AI564" s="280"/>
      <c r="AJ564" s="280"/>
      <c r="AK564" s="280"/>
      <c r="AL564" s="280"/>
      <c r="AM564" s="280"/>
      <c r="AN564" s="280"/>
      <c r="AO564" s="280"/>
      <c r="AP564" s="280"/>
      <c r="AQ564" s="280"/>
      <c r="AR564" s="280"/>
      <c r="AS564" s="280"/>
      <c r="AT564" s="280"/>
      <c r="AU564" s="280"/>
      <c r="AV564" s="280"/>
      <c r="AW564" s="280"/>
      <c r="AX564" s="280"/>
      <c r="AY564" s="280"/>
      <c r="AZ564" s="280"/>
      <c r="BA564" s="280"/>
      <c r="BB564" s="280"/>
      <c r="BC564" s="280"/>
      <c r="BD564" s="280"/>
      <c r="BE564" s="280"/>
      <c r="BF564" s="280"/>
      <c r="BG564" s="280"/>
      <c r="BH564" s="280"/>
      <c r="BI564" s="280"/>
      <c r="BJ564" s="280"/>
      <c r="BK564" s="280"/>
      <c r="BL564" s="280"/>
      <c r="BM564" s="280"/>
      <c r="BN564" s="280"/>
      <c r="BO564" s="280"/>
      <c r="BP564" s="280"/>
      <c r="BQ564" s="280"/>
      <c r="BR564" s="280"/>
      <c r="BS564" s="280"/>
      <c r="BT564" s="280"/>
      <c r="BU564" s="280"/>
      <c r="BV564" s="280"/>
    </row>
    <row r="565" spans="2:74" x14ac:dyDescent="0.2">
      <c r="B565" s="280"/>
      <c r="D565" s="280"/>
      <c r="E565" s="280"/>
      <c r="F565" s="280"/>
      <c r="G565" s="280"/>
      <c r="H565" s="280"/>
      <c r="I565" s="280"/>
      <c r="J565" s="280"/>
      <c r="K565" s="280"/>
      <c r="L565" s="280"/>
      <c r="M565" s="280"/>
      <c r="N565" s="280"/>
      <c r="O565" s="280"/>
      <c r="P565" s="280"/>
      <c r="Q565" s="280"/>
      <c r="R565" s="280"/>
      <c r="S565" s="280"/>
      <c r="T565" s="280"/>
      <c r="U565" s="280"/>
      <c r="V565" s="280"/>
      <c r="W565" s="280"/>
      <c r="X565" s="280"/>
      <c r="Y565" s="280"/>
      <c r="Z565" s="280"/>
      <c r="AA565" s="280"/>
      <c r="AB565" s="280"/>
      <c r="AC565" s="280"/>
      <c r="AD565" s="280"/>
      <c r="AE565" s="280"/>
      <c r="AF565" s="280"/>
      <c r="AG565" s="280"/>
      <c r="AH565" s="280"/>
      <c r="AI565" s="280"/>
      <c r="AJ565" s="280"/>
      <c r="AK565" s="280"/>
      <c r="AL565" s="280"/>
      <c r="AM565" s="280"/>
      <c r="AN565" s="280"/>
      <c r="AO565" s="280"/>
      <c r="AP565" s="280"/>
      <c r="AQ565" s="280"/>
      <c r="AR565" s="280"/>
      <c r="AS565" s="280"/>
      <c r="AT565" s="280"/>
      <c r="AU565" s="280"/>
      <c r="AV565" s="280"/>
      <c r="AW565" s="280"/>
      <c r="AX565" s="280"/>
      <c r="AY565" s="280"/>
      <c r="AZ565" s="280"/>
      <c r="BA565" s="280"/>
      <c r="BB565" s="280"/>
      <c r="BC565" s="280"/>
      <c r="BD565" s="280"/>
      <c r="BE565" s="280"/>
      <c r="BF565" s="280"/>
      <c r="BG565" s="280"/>
      <c r="BH565" s="280"/>
      <c r="BI565" s="280"/>
      <c r="BJ565" s="280"/>
      <c r="BK565" s="280"/>
      <c r="BL565" s="280"/>
      <c r="BM565" s="280"/>
      <c r="BN565" s="280"/>
      <c r="BO565" s="280"/>
      <c r="BP565" s="280"/>
      <c r="BQ565" s="280"/>
      <c r="BR565" s="280"/>
      <c r="BS565" s="280"/>
      <c r="BT565" s="280"/>
      <c r="BU565" s="280"/>
      <c r="BV565" s="280"/>
    </row>
    <row r="566" spans="2:74" x14ac:dyDescent="0.2">
      <c r="B566" s="280"/>
      <c r="D566" s="280"/>
      <c r="E566" s="280"/>
      <c r="F566" s="280"/>
      <c r="G566" s="280"/>
      <c r="H566" s="280"/>
      <c r="I566" s="280"/>
      <c r="J566" s="280"/>
      <c r="K566" s="280"/>
      <c r="L566" s="280"/>
      <c r="M566" s="280"/>
      <c r="N566" s="280"/>
      <c r="O566" s="280"/>
      <c r="P566" s="280"/>
      <c r="Q566" s="280"/>
      <c r="R566" s="280"/>
      <c r="S566" s="280"/>
      <c r="T566" s="280"/>
      <c r="U566" s="280"/>
      <c r="V566" s="280"/>
      <c r="W566" s="280"/>
      <c r="X566" s="280"/>
      <c r="Y566" s="280"/>
      <c r="Z566" s="280"/>
      <c r="AA566" s="280"/>
      <c r="AB566" s="280"/>
      <c r="AC566" s="280"/>
      <c r="AD566" s="280"/>
      <c r="AE566" s="280"/>
      <c r="AF566" s="280"/>
      <c r="AG566" s="280"/>
      <c r="AH566" s="280"/>
      <c r="AI566" s="280"/>
      <c r="AJ566" s="280"/>
      <c r="AK566" s="280"/>
      <c r="AL566" s="280"/>
      <c r="AM566" s="280"/>
      <c r="AN566" s="280"/>
      <c r="AO566" s="280"/>
      <c r="AP566" s="280"/>
      <c r="AQ566" s="280"/>
      <c r="AR566" s="280"/>
      <c r="AS566" s="280"/>
      <c r="AT566" s="280"/>
      <c r="AU566" s="280"/>
      <c r="AV566" s="280"/>
      <c r="AW566" s="280"/>
      <c r="AX566" s="280"/>
      <c r="AY566" s="280"/>
      <c r="AZ566" s="280"/>
      <c r="BA566" s="280"/>
      <c r="BB566" s="280"/>
      <c r="BC566" s="280"/>
      <c r="BD566" s="280"/>
      <c r="BE566" s="280"/>
      <c r="BF566" s="280"/>
      <c r="BG566" s="280"/>
      <c r="BH566" s="280"/>
      <c r="BI566" s="280"/>
      <c r="BJ566" s="280"/>
      <c r="BK566" s="280"/>
      <c r="BL566" s="280"/>
      <c r="BM566" s="280"/>
      <c r="BN566" s="280"/>
      <c r="BO566" s="280"/>
      <c r="BP566" s="280"/>
      <c r="BQ566" s="280"/>
      <c r="BR566" s="280"/>
      <c r="BS566" s="280"/>
      <c r="BT566" s="280"/>
      <c r="BU566" s="280"/>
      <c r="BV566" s="280"/>
    </row>
    <row r="567" spans="2:74" x14ac:dyDescent="0.2">
      <c r="B567" s="280"/>
      <c r="D567" s="280"/>
      <c r="E567" s="280"/>
      <c r="F567" s="280"/>
      <c r="G567" s="280"/>
      <c r="H567" s="280"/>
      <c r="I567" s="280"/>
      <c r="J567" s="280"/>
      <c r="K567" s="280"/>
      <c r="L567" s="280"/>
      <c r="M567" s="280"/>
      <c r="N567" s="280"/>
      <c r="O567" s="280"/>
      <c r="P567" s="280"/>
      <c r="Q567" s="280"/>
      <c r="R567" s="280"/>
      <c r="S567" s="280"/>
      <c r="T567" s="280"/>
      <c r="U567" s="280"/>
      <c r="V567" s="280"/>
      <c r="W567" s="280"/>
      <c r="X567" s="280"/>
      <c r="Y567" s="280"/>
      <c r="Z567" s="280"/>
      <c r="AA567" s="280"/>
      <c r="AB567" s="280"/>
      <c r="AC567" s="280"/>
      <c r="AD567" s="280"/>
      <c r="AE567" s="280"/>
      <c r="AF567" s="280"/>
      <c r="AG567" s="280"/>
      <c r="AH567" s="280"/>
      <c r="AI567" s="280"/>
      <c r="AJ567" s="280"/>
      <c r="AK567" s="280"/>
      <c r="AL567" s="280"/>
      <c r="AM567" s="280"/>
      <c r="AN567" s="280"/>
      <c r="AO567" s="280"/>
      <c r="AP567" s="280"/>
      <c r="AQ567" s="280"/>
      <c r="AR567" s="280"/>
      <c r="AS567" s="280"/>
      <c r="AT567" s="280"/>
      <c r="AU567" s="280"/>
      <c r="AV567" s="280"/>
      <c r="AW567" s="280"/>
      <c r="AX567" s="280"/>
      <c r="AY567" s="280"/>
      <c r="AZ567" s="280"/>
      <c r="BA567" s="280"/>
      <c r="BB567" s="280"/>
      <c r="BC567" s="280"/>
      <c r="BD567" s="280"/>
      <c r="BE567" s="280"/>
      <c r="BF567" s="280"/>
      <c r="BG567" s="280"/>
      <c r="BH567" s="280"/>
      <c r="BI567" s="280"/>
      <c r="BJ567" s="280"/>
      <c r="BK567" s="280"/>
      <c r="BL567" s="280"/>
      <c r="BM567" s="280"/>
      <c r="BN567" s="280"/>
      <c r="BO567" s="280"/>
      <c r="BP567" s="280"/>
      <c r="BQ567" s="280"/>
      <c r="BR567" s="280"/>
      <c r="BS567" s="280"/>
      <c r="BT567" s="280"/>
      <c r="BU567" s="280"/>
      <c r="BV567" s="280"/>
    </row>
    <row r="568" spans="2:74" x14ac:dyDescent="0.2">
      <c r="B568" s="280"/>
      <c r="D568" s="280"/>
      <c r="E568" s="280"/>
      <c r="F568" s="280"/>
      <c r="G568" s="280"/>
      <c r="H568" s="280"/>
      <c r="I568" s="280"/>
      <c r="J568" s="280"/>
      <c r="K568" s="280"/>
      <c r="L568" s="280"/>
      <c r="M568" s="280"/>
      <c r="N568" s="280"/>
      <c r="O568" s="280"/>
      <c r="P568" s="280"/>
      <c r="Q568" s="280"/>
      <c r="R568" s="280"/>
      <c r="S568" s="280"/>
      <c r="T568" s="280"/>
      <c r="U568" s="280"/>
      <c r="V568" s="280"/>
      <c r="W568" s="280"/>
      <c r="X568" s="280"/>
      <c r="Y568" s="280"/>
      <c r="Z568" s="280"/>
      <c r="AA568" s="280"/>
      <c r="AB568" s="280"/>
      <c r="AC568" s="280"/>
      <c r="AD568" s="280"/>
      <c r="AE568" s="280"/>
      <c r="AF568" s="280"/>
      <c r="AG568" s="280"/>
      <c r="AH568" s="280"/>
      <c r="AI568" s="280"/>
      <c r="AJ568" s="280"/>
      <c r="AK568" s="280"/>
      <c r="AL568" s="280"/>
      <c r="AM568" s="280"/>
      <c r="AN568" s="280"/>
      <c r="AO568" s="280"/>
      <c r="AP568" s="280"/>
      <c r="AQ568" s="280"/>
      <c r="AR568" s="280"/>
      <c r="AS568" s="280"/>
      <c r="AT568" s="280"/>
      <c r="AU568" s="280"/>
      <c r="AV568" s="280"/>
      <c r="AW568" s="280"/>
      <c r="AX568" s="280"/>
      <c r="AY568" s="280"/>
      <c r="AZ568" s="280"/>
      <c r="BA568" s="280"/>
      <c r="BB568" s="280"/>
      <c r="BC568" s="280"/>
      <c r="BD568" s="280"/>
      <c r="BE568" s="280"/>
      <c r="BF568" s="280"/>
      <c r="BG568" s="280"/>
      <c r="BH568" s="280"/>
      <c r="BI568" s="280"/>
      <c r="BJ568" s="280"/>
      <c r="BK568" s="280"/>
      <c r="BL568" s="280"/>
      <c r="BM568" s="280"/>
      <c r="BN568" s="280"/>
      <c r="BO568" s="280"/>
      <c r="BP568" s="280"/>
      <c r="BQ568" s="280"/>
      <c r="BR568" s="280"/>
      <c r="BS568" s="280"/>
      <c r="BT568" s="280"/>
      <c r="BU568" s="280"/>
      <c r="BV568" s="280"/>
    </row>
    <row r="569" spans="2:74" x14ac:dyDescent="0.2">
      <c r="B569" s="280"/>
      <c r="D569" s="280"/>
      <c r="E569" s="280"/>
      <c r="F569" s="280"/>
      <c r="G569" s="280"/>
      <c r="H569" s="280"/>
      <c r="I569" s="280"/>
      <c r="J569" s="280"/>
      <c r="K569" s="280"/>
      <c r="L569" s="280"/>
      <c r="M569" s="280"/>
      <c r="N569" s="280"/>
      <c r="O569" s="280"/>
      <c r="P569" s="280"/>
      <c r="Q569" s="280"/>
      <c r="R569" s="280"/>
      <c r="S569" s="280"/>
      <c r="T569" s="280"/>
      <c r="U569" s="280"/>
      <c r="V569" s="280"/>
      <c r="W569" s="280"/>
      <c r="X569" s="280"/>
      <c r="Y569" s="280"/>
      <c r="Z569" s="280"/>
      <c r="AA569" s="280"/>
      <c r="AB569" s="280"/>
      <c r="AC569" s="280"/>
      <c r="AD569" s="280"/>
      <c r="AE569" s="280"/>
      <c r="AF569" s="280"/>
      <c r="AG569" s="280"/>
      <c r="AH569" s="280"/>
      <c r="AI569" s="280"/>
      <c r="AJ569" s="280"/>
      <c r="AK569" s="280"/>
      <c r="AL569" s="280"/>
      <c r="AM569" s="280"/>
      <c r="AN569" s="280"/>
      <c r="AO569" s="280"/>
      <c r="AP569" s="280"/>
      <c r="AQ569" s="280"/>
      <c r="AR569" s="280"/>
      <c r="AS569" s="280"/>
      <c r="AT569" s="280"/>
      <c r="AU569" s="280"/>
      <c r="AV569" s="280"/>
      <c r="AW569" s="280"/>
      <c r="AX569" s="280"/>
      <c r="AY569" s="280"/>
      <c r="AZ569" s="280"/>
      <c r="BA569" s="280"/>
      <c r="BB569" s="280"/>
      <c r="BC569" s="280"/>
      <c r="BD569" s="280"/>
      <c r="BE569" s="280"/>
      <c r="BF569" s="280"/>
      <c r="BG569" s="280"/>
      <c r="BH569" s="280"/>
      <c r="BI569" s="280"/>
      <c r="BJ569" s="280"/>
      <c r="BK569" s="280"/>
      <c r="BL569" s="280"/>
      <c r="BM569" s="280"/>
      <c r="BN569" s="280"/>
      <c r="BO569" s="280"/>
      <c r="BP569" s="280"/>
      <c r="BQ569" s="280"/>
      <c r="BR569" s="280"/>
      <c r="BS569" s="280"/>
      <c r="BT569" s="280"/>
      <c r="BU569" s="280"/>
      <c r="BV569" s="280"/>
    </row>
    <row r="570" spans="2:74" x14ac:dyDescent="0.2">
      <c r="B570" s="280"/>
      <c r="D570" s="280"/>
      <c r="E570" s="280"/>
      <c r="F570" s="280"/>
      <c r="G570" s="280"/>
      <c r="H570" s="280"/>
      <c r="I570" s="280"/>
      <c r="J570" s="280"/>
      <c r="K570" s="280"/>
      <c r="L570" s="280"/>
      <c r="M570" s="280"/>
      <c r="N570" s="280"/>
      <c r="O570" s="280"/>
      <c r="P570" s="280"/>
      <c r="Q570" s="280"/>
      <c r="R570" s="280"/>
      <c r="S570" s="280"/>
      <c r="T570" s="280"/>
      <c r="U570" s="280"/>
      <c r="V570" s="280"/>
      <c r="W570" s="280"/>
      <c r="X570" s="280"/>
      <c r="Y570" s="280"/>
      <c r="Z570" s="280"/>
      <c r="AA570" s="280"/>
      <c r="AB570" s="280"/>
      <c r="AC570" s="280"/>
      <c r="AD570" s="280"/>
      <c r="AE570" s="280"/>
      <c r="AF570" s="280"/>
      <c r="AG570" s="280"/>
      <c r="AH570" s="280"/>
      <c r="AI570" s="280"/>
      <c r="AJ570" s="280"/>
      <c r="AK570" s="280"/>
      <c r="AL570" s="280"/>
      <c r="AM570" s="280"/>
      <c r="AN570" s="280"/>
      <c r="AO570" s="280"/>
      <c r="AP570" s="280"/>
      <c r="AQ570" s="280"/>
      <c r="AR570" s="280"/>
      <c r="AS570" s="280"/>
      <c r="AT570" s="280"/>
      <c r="AU570" s="280"/>
      <c r="AV570" s="280"/>
      <c r="AW570" s="280"/>
      <c r="AX570" s="280"/>
      <c r="AY570" s="280"/>
      <c r="AZ570" s="280"/>
      <c r="BA570" s="280"/>
      <c r="BB570" s="280"/>
      <c r="BC570" s="280"/>
      <c r="BD570" s="280"/>
      <c r="BE570" s="280"/>
      <c r="BF570" s="280"/>
      <c r="BG570" s="280"/>
      <c r="BH570" s="280"/>
      <c r="BI570" s="280"/>
      <c r="BJ570" s="280"/>
      <c r="BK570" s="280"/>
      <c r="BL570" s="280"/>
      <c r="BM570" s="280"/>
      <c r="BN570" s="280"/>
      <c r="BO570" s="280"/>
      <c r="BP570" s="280"/>
      <c r="BQ570" s="280"/>
      <c r="BR570" s="280"/>
      <c r="BS570" s="280"/>
      <c r="BT570" s="280"/>
      <c r="BU570" s="280"/>
      <c r="BV570" s="280"/>
    </row>
    <row r="571" spans="2:74" x14ac:dyDescent="0.2">
      <c r="B571" s="280"/>
      <c r="D571" s="280"/>
      <c r="E571" s="280"/>
      <c r="F571" s="280"/>
      <c r="G571" s="280"/>
      <c r="H571" s="280"/>
      <c r="I571" s="280"/>
      <c r="J571" s="280"/>
      <c r="K571" s="280"/>
      <c r="L571" s="280"/>
      <c r="M571" s="280"/>
      <c r="N571" s="280"/>
      <c r="O571" s="280"/>
      <c r="P571" s="280"/>
      <c r="Q571" s="280"/>
      <c r="R571" s="280"/>
      <c r="S571" s="280"/>
      <c r="T571" s="280"/>
      <c r="U571" s="280"/>
      <c r="V571" s="280"/>
      <c r="W571" s="280"/>
      <c r="X571" s="280"/>
      <c r="Y571" s="280"/>
      <c r="Z571" s="280"/>
      <c r="AA571" s="280"/>
      <c r="AB571" s="280"/>
      <c r="AC571" s="280"/>
      <c r="AD571" s="280"/>
      <c r="AE571" s="280"/>
      <c r="AF571" s="280"/>
      <c r="AG571" s="280"/>
      <c r="AH571" s="280"/>
      <c r="AI571" s="280"/>
      <c r="AJ571" s="280"/>
      <c r="AK571" s="280"/>
      <c r="AL571" s="280"/>
      <c r="AM571" s="280"/>
      <c r="AN571" s="280"/>
      <c r="AO571" s="280"/>
      <c r="AP571" s="280"/>
      <c r="AQ571" s="280"/>
      <c r="AR571" s="280"/>
      <c r="AS571" s="280"/>
      <c r="AT571" s="280"/>
      <c r="AU571" s="280"/>
      <c r="AV571" s="280"/>
      <c r="AW571" s="280"/>
      <c r="AX571" s="280"/>
      <c r="AY571" s="280"/>
      <c r="AZ571" s="280"/>
      <c r="BA571" s="280"/>
      <c r="BB571" s="280"/>
      <c r="BC571" s="280"/>
      <c r="BD571" s="280"/>
      <c r="BE571" s="280"/>
      <c r="BF571" s="280"/>
      <c r="BG571" s="280"/>
      <c r="BH571" s="280"/>
      <c r="BI571" s="280"/>
      <c r="BJ571" s="280"/>
      <c r="BK571" s="280"/>
      <c r="BL571" s="280"/>
      <c r="BM571" s="280"/>
      <c r="BN571" s="280"/>
      <c r="BO571" s="280"/>
      <c r="BP571" s="280"/>
      <c r="BQ571" s="280"/>
      <c r="BR571" s="280"/>
      <c r="BS571" s="280"/>
      <c r="BT571" s="280"/>
      <c r="BU571" s="280"/>
      <c r="BV571" s="280"/>
    </row>
    <row r="572" spans="2:74" x14ac:dyDescent="0.2">
      <c r="B572" s="280"/>
      <c r="D572" s="280"/>
      <c r="E572" s="280"/>
      <c r="F572" s="280"/>
      <c r="G572" s="280"/>
      <c r="H572" s="280"/>
      <c r="I572" s="280"/>
      <c r="J572" s="280"/>
      <c r="K572" s="280"/>
      <c r="L572" s="280"/>
      <c r="M572" s="280"/>
      <c r="N572" s="280"/>
      <c r="O572" s="280"/>
      <c r="P572" s="280"/>
      <c r="Q572" s="280"/>
      <c r="R572" s="280"/>
      <c r="S572" s="280"/>
      <c r="T572" s="280"/>
      <c r="U572" s="280"/>
      <c r="V572" s="280"/>
      <c r="W572" s="280"/>
      <c r="X572" s="280"/>
      <c r="Y572" s="280"/>
      <c r="Z572" s="280"/>
      <c r="AA572" s="280"/>
      <c r="AB572" s="280"/>
      <c r="AC572" s="280"/>
      <c r="AD572" s="280"/>
      <c r="AE572" s="280"/>
      <c r="AF572" s="280"/>
      <c r="AG572" s="280"/>
      <c r="AH572" s="280"/>
      <c r="AI572" s="280"/>
      <c r="AJ572" s="280"/>
      <c r="AK572" s="280"/>
      <c r="AL572" s="280"/>
      <c r="AM572" s="280"/>
      <c r="AN572" s="280"/>
      <c r="AO572" s="280"/>
      <c r="AP572" s="280"/>
      <c r="AQ572" s="280"/>
      <c r="AR572" s="280"/>
      <c r="AS572" s="280"/>
      <c r="AT572" s="280"/>
      <c r="AU572" s="280"/>
      <c r="AV572" s="280"/>
      <c r="AW572" s="280"/>
      <c r="AX572" s="280"/>
      <c r="AY572" s="280"/>
      <c r="AZ572" s="280"/>
      <c r="BA572" s="280"/>
      <c r="BB572" s="280"/>
      <c r="BC572" s="280"/>
      <c r="BD572" s="280"/>
      <c r="BE572" s="280"/>
      <c r="BF572" s="280"/>
      <c r="BG572" s="280"/>
      <c r="BH572" s="280"/>
      <c r="BI572" s="280"/>
      <c r="BJ572" s="280"/>
      <c r="BK572" s="280"/>
      <c r="BL572" s="280"/>
      <c r="BM572" s="280"/>
      <c r="BN572" s="280"/>
      <c r="BO572" s="280"/>
      <c r="BP572" s="280"/>
      <c r="BQ572" s="280"/>
      <c r="BR572" s="280"/>
      <c r="BS572" s="280"/>
      <c r="BT572" s="280"/>
      <c r="BU572" s="280"/>
      <c r="BV572" s="280"/>
    </row>
    <row r="573" spans="2:74" x14ac:dyDescent="0.2">
      <c r="B573" s="280"/>
      <c r="D573" s="280"/>
      <c r="E573" s="280"/>
      <c r="F573" s="280"/>
      <c r="G573" s="280"/>
      <c r="H573" s="280"/>
      <c r="I573" s="280"/>
      <c r="J573" s="280"/>
      <c r="K573" s="280"/>
      <c r="L573" s="280"/>
      <c r="M573" s="280"/>
      <c r="N573" s="280"/>
      <c r="O573" s="280"/>
      <c r="P573" s="280"/>
      <c r="Q573" s="280"/>
      <c r="R573" s="280"/>
      <c r="S573" s="280"/>
      <c r="T573" s="280"/>
      <c r="U573" s="280"/>
      <c r="V573" s="280"/>
      <c r="W573" s="280"/>
      <c r="X573" s="280"/>
      <c r="Y573" s="280"/>
      <c r="Z573" s="280"/>
      <c r="AA573" s="280"/>
      <c r="AB573" s="280"/>
      <c r="AC573" s="280"/>
      <c r="AD573" s="280"/>
      <c r="AE573" s="280"/>
      <c r="AF573" s="280"/>
      <c r="AG573" s="280"/>
      <c r="AH573" s="280"/>
      <c r="AI573" s="280"/>
      <c r="AJ573" s="280"/>
      <c r="AK573" s="280"/>
      <c r="AL573" s="280"/>
      <c r="AM573" s="280"/>
      <c r="AN573" s="280"/>
      <c r="AO573" s="280"/>
      <c r="AP573" s="280"/>
      <c r="AQ573" s="280"/>
      <c r="AR573" s="280"/>
      <c r="AS573" s="280"/>
      <c r="AT573" s="280"/>
      <c r="AU573" s="280"/>
      <c r="AV573" s="280"/>
      <c r="AW573" s="280"/>
      <c r="AX573" s="280"/>
      <c r="AY573" s="280"/>
      <c r="AZ573" s="280"/>
      <c r="BA573" s="280"/>
      <c r="BB573" s="280"/>
      <c r="BC573" s="280"/>
      <c r="BD573" s="280"/>
      <c r="BE573" s="280"/>
      <c r="BF573" s="280"/>
      <c r="BG573" s="280"/>
      <c r="BH573" s="280"/>
      <c r="BI573" s="280"/>
      <c r="BJ573" s="280"/>
      <c r="BK573" s="280"/>
      <c r="BL573" s="280"/>
      <c r="BM573" s="280"/>
      <c r="BN573" s="280"/>
      <c r="BO573" s="280"/>
      <c r="BP573" s="280"/>
      <c r="BQ573" s="280"/>
      <c r="BR573" s="280"/>
      <c r="BS573" s="280"/>
      <c r="BT573" s="280"/>
      <c r="BU573" s="280"/>
      <c r="BV573" s="280"/>
    </row>
    <row r="574" spans="2:74" x14ac:dyDescent="0.2">
      <c r="B574" s="280"/>
      <c r="D574" s="280"/>
      <c r="E574" s="280"/>
      <c r="F574" s="280"/>
      <c r="G574" s="280"/>
      <c r="H574" s="280"/>
      <c r="I574" s="280"/>
      <c r="J574" s="280"/>
      <c r="K574" s="280"/>
      <c r="L574" s="280"/>
      <c r="M574" s="280"/>
      <c r="N574" s="280"/>
      <c r="O574" s="280"/>
      <c r="P574" s="280"/>
      <c r="Q574" s="280"/>
      <c r="R574" s="280"/>
      <c r="S574" s="280"/>
      <c r="T574" s="280"/>
      <c r="U574" s="280"/>
      <c r="V574" s="280"/>
      <c r="W574" s="280"/>
      <c r="X574" s="280"/>
      <c r="Y574" s="280"/>
      <c r="Z574" s="280"/>
      <c r="AA574" s="280"/>
      <c r="AB574" s="280"/>
      <c r="AC574" s="280"/>
      <c r="AD574" s="280"/>
      <c r="AE574" s="280"/>
      <c r="AF574" s="280"/>
      <c r="AG574" s="280"/>
      <c r="AH574" s="280"/>
      <c r="AI574" s="280"/>
      <c r="AJ574" s="280"/>
      <c r="AK574" s="280"/>
      <c r="AL574" s="280"/>
      <c r="AM574" s="280"/>
      <c r="AN574" s="280"/>
      <c r="AO574" s="280"/>
      <c r="AP574" s="280"/>
      <c r="AQ574" s="280"/>
      <c r="AR574" s="280"/>
      <c r="AS574" s="280"/>
      <c r="AT574" s="280"/>
      <c r="AU574" s="280"/>
      <c r="AV574" s="280"/>
      <c r="AW574" s="280"/>
      <c r="AX574" s="280"/>
      <c r="AY574" s="280"/>
      <c r="AZ574" s="280"/>
      <c r="BA574" s="280"/>
      <c r="BB574" s="280"/>
      <c r="BC574" s="280"/>
      <c r="BD574" s="280"/>
      <c r="BE574" s="280"/>
      <c r="BF574" s="280"/>
      <c r="BG574" s="280"/>
      <c r="BH574" s="280"/>
      <c r="BI574" s="280"/>
      <c r="BJ574" s="280"/>
      <c r="BK574" s="280"/>
      <c r="BL574" s="280"/>
      <c r="BM574" s="280"/>
      <c r="BN574" s="280"/>
      <c r="BO574" s="280"/>
      <c r="BP574" s="280"/>
      <c r="BQ574" s="280"/>
      <c r="BR574" s="280"/>
      <c r="BS574" s="280"/>
      <c r="BT574" s="280"/>
      <c r="BU574" s="280"/>
      <c r="BV574" s="280"/>
    </row>
    <row r="575" spans="2:74" x14ac:dyDescent="0.2">
      <c r="B575" s="280"/>
      <c r="D575" s="280"/>
      <c r="E575" s="280"/>
      <c r="F575" s="280"/>
      <c r="G575" s="280"/>
      <c r="H575" s="280"/>
      <c r="I575" s="280"/>
      <c r="J575" s="280"/>
      <c r="K575" s="280"/>
      <c r="L575" s="280"/>
      <c r="M575" s="280"/>
      <c r="N575" s="280"/>
      <c r="O575" s="280"/>
      <c r="P575" s="280"/>
      <c r="Q575" s="280"/>
      <c r="R575" s="280"/>
      <c r="S575" s="280"/>
      <c r="T575" s="280"/>
      <c r="U575" s="280"/>
      <c r="V575" s="280"/>
      <c r="W575" s="280"/>
      <c r="X575" s="280"/>
      <c r="Y575" s="280"/>
      <c r="Z575" s="280"/>
      <c r="AA575" s="280"/>
      <c r="AB575" s="280"/>
      <c r="AC575" s="280"/>
      <c r="AD575" s="280"/>
      <c r="AE575" s="280"/>
      <c r="AF575" s="280"/>
      <c r="AG575" s="280"/>
      <c r="AH575" s="280"/>
      <c r="AI575" s="280"/>
      <c r="AJ575" s="280"/>
      <c r="AK575" s="280"/>
      <c r="AL575" s="280"/>
      <c r="AM575" s="280"/>
      <c r="AN575" s="280"/>
      <c r="AO575" s="280"/>
      <c r="AP575" s="280"/>
      <c r="AQ575" s="280"/>
      <c r="AR575" s="280"/>
      <c r="AS575" s="280"/>
      <c r="AT575" s="280"/>
      <c r="AU575" s="280"/>
      <c r="AV575" s="280"/>
      <c r="AW575" s="280"/>
      <c r="AX575" s="280"/>
      <c r="AY575" s="280"/>
      <c r="AZ575" s="280"/>
      <c r="BA575" s="280"/>
      <c r="BB575" s="280"/>
      <c r="BC575" s="280"/>
      <c r="BD575" s="280"/>
      <c r="BE575" s="280"/>
      <c r="BF575" s="280"/>
      <c r="BG575" s="280"/>
      <c r="BH575" s="280"/>
      <c r="BI575" s="280"/>
      <c r="BJ575" s="280"/>
      <c r="BK575" s="280"/>
      <c r="BL575" s="280"/>
      <c r="BM575" s="280"/>
      <c r="BN575" s="280"/>
      <c r="BO575" s="280"/>
      <c r="BP575" s="280"/>
      <c r="BQ575" s="280"/>
      <c r="BR575" s="280"/>
      <c r="BS575" s="280"/>
      <c r="BT575" s="280"/>
      <c r="BU575" s="280"/>
      <c r="BV575" s="280"/>
    </row>
    <row r="576" spans="2:74" x14ac:dyDescent="0.2">
      <c r="B576" s="280"/>
      <c r="D576" s="280"/>
      <c r="E576" s="280"/>
      <c r="F576" s="280"/>
      <c r="G576" s="280"/>
      <c r="H576" s="280"/>
      <c r="I576" s="280"/>
      <c r="J576" s="280"/>
      <c r="K576" s="280"/>
      <c r="L576" s="280"/>
      <c r="M576" s="280"/>
      <c r="N576" s="280"/>
      <c r="O576" s="280"/>
      <c r="P576" s="280"/>
      <c r="Q576" s="280"/>
      <c r="R576" s="280"/>
      <c r="S576" s="280"/>
      <c r="T576" s="280"/>
      <c r="U576" s="280"/>
      <c r="V576" s="280"/>
      <c r="W576" s="280"/>
      <c r="X576" s="280"/>
      <c r="Y576" s="280"/>
      <c r="Z576" s="280"/>
      <c r="AA576" s="280"/>
      <c r="AB576" s="280"/>
      <c r="AC576" s="280"/>
      <c r="AD576" s="280"/>
      <c r="AE576" s="280"/>
      <c r="AF576" s="280"/>
      <c r="AG576" s="280"/>
      <c r="AH576" s="280"/>
      <c r="AI576" s="280"/>
      <c r="AJ576" s="280"/>
      <c r="AK576" s="280"/>
      <c r="AL576" s="280"/>
      <c r="AM576" s="280"/>
      <c r="AN576" s="280"/>
      <c r="AO576" s="280"/>
      <c r="AP576" s="280"/>
      <c r="AQ576" s="280"/>
      <c r="AR576" s="280"/>
      <c r="AS576" s="280"/>
      <c r="AT576" s="280"/>
      <c r="AU576" s="280"/>
      <c r="AV576" s="280"/>
      <c r="AW576" s="280"/>
      <c r="AX576" s="280"/>
      <c r="AY576" s="280"/>
      <c r="AZ576" s="280"/>
      <c r="BA576" s="280"/>
      <c r="BB576" s="280"/>
      <c r="BC576" s="280"/>
      <c r="BD576" s="280"/>
      <c r="BE576" s="280"/>
      <c r="BF576" s="280"/>
      <c r="BG576" s="280"/>
      <c r="BH576" s="280"/>
      <c r="BI576" s="280"/>
      <c r="BJ576" s="280"/>
      <c r="BK576" s="280"/>
      <c r="BL576" s="280"/>
      <c r="BM576" s="280"/>
      <c r="BN576" s="280"/>
      <c r="BO576" s="280"/>
      <c r="BP576" s="280"/>
      <c r="BQ576" s="280"/>
      <c r="BR576" s="280"/>
      <c r="BS576" s="280"/>
      <c r="BT576" s="280"/>
      <c r="BU576" s="280"/>
      <c r="BV576" s="280"/>
    </row>
    <row r="577" spans="2:74" x14ac:dyDescent="0.2">
      <c r="B577" s="280"/>
      <c r="D577" s="280"/>
      <c r="E577" s="280"/>
      <c r="F577" s="280"/>
      <c r="G577" s="280"/>
      <c r="H577" s="280"/>
      <c r="I577" s="280"/>
      <c r="J577" s="280"/>
      <c r="K577" s="280"/>
      <c r="L577" s="280"/>
      <c r="M577" s="280"/>
      <c r="N577" s="280"/>
      <c r="O577" s="280"/>
      <c r="P577" s="280"/>
      <c r="Q577" s="280"/>
      <c r="R577" s="280"/>
      <c r="S577" s="280"/>
      <c r="T577" s="280"/>
      <c r="U577" s="280"/>
      <c r="V577" s="280"/>
      <c r="W577" s="280"/>
      <c r="X577" s="280"/>
      <c r="Y577" s="280"/>
      <c r="Z577" s="280"/>
      <c r="AA577" s="280"/>
      <c r="AB577" s="280"/>
      <c r="AC577" s="280"/>
      <c r="AD577" s="280"/>
      <c r="AE577" s="280"/>
      <c r="AF577" s="280"/>
      <c r="AG577" s="280"/>
      <c r="AH577" s="280"/>
      <c r="AI577" s="280"/>
      <c r="AJ577" s="280"/>
      <c r="AK577" s="280"/>
      <c r="AL577" s="280"/>
      <c r="AM577" s="280"/>
      <c r="AN577" s="280"/>
      <c r="AO577" s="280"/>
      <c r="AP577" s="280"/>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row>
    <row r="578" spans="2:74" x14ac:dyDescent="0.2">
      <c r="B578" s="280"/>
      <c r="D578" s="280"/>
      <c r="E578" s="280"/>
      <c r="F578" s="280"/>
      <c r="G578" s="280"/>
      <c r="H578" s="280"/>
      <c r="I578" s="280"/>
      <c r="J578" s="280"/>
      <c r="K578" s="280"/>
      <c r="L578" s="280"/>
      <c r="M578" s="280"/>
      <c r="N578" s="280"/>
      <c r="O578" s="280"/>
      <c r="P578" s="280"/>
      <c r="Q578" s="280"/>
      <c r="R578" s="280"/>
      <c r="S578" s="280"/>
      <c r="T578" s="280"/>
      <c r="U578" s="280"/>
      <c r="V578" s="280"/>
      <c r="W578" s="280"/>
      <c r="X578" s="280"/>
      <c r="Y578" s="280"/>
      <c r="Z578" s="280"/>
      <c r="AA578" s="280"/>
      <c r="AB578" s="280"/>
      <c r="AC578" s="280"/>
      <c r="AD578" s="280"/>
      <c r="AE578" s="280"/>
      <c r="AF578" s="280"/>
      <c r="AG578" s="280"/>
      <c r="AH578" s="280"/>
      <c r="AI578" s="280"/>
      <c r="AJ578" s="280"/>
      <c r="AK578" s="280"/>
      <c r="AL578" s="280"/>
      <c r="AM578" s="280"/>
      <c r="AN578" s="280"/>
      <c r="AO578" s="280"/>
      <c r="AP578" s="280"/>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row>
    <row r="579" spans="2:74" x14ac:dyDescent="0.2">
      <c r="B579" s="280"/>
      <c r="D579" s="280"/>
      <c r="E579" s="280"/>
      <c r="F579" s="280"/>
      <c r="G579" s="280"/>
      <c r="H579" s="280"/>
      <c r="I579" s="280"/>
      <c r="J579" s="280"/>
      <c r="K579" s="280"/>
      <c r="L579" s="280"/>
      <c r="M579" s="280"/>
      <c r="N579" s="280"/>
      <c r="O579" s="280"/>
      <c r="P579" s="280"/>
      <c r="Q579" s="280"/>
      <c r="R579" s="280"/>
      <c r="S579" s="280"/>
      <c r="T579" s="280"/>
      <c r="U579" s="280"/>
      <c r="V579" s="280"/>
      <c r="W579" s="280"/>
      <c r="X579" s="280"/>
      <c r="Y579" s="280"/>
      <c r="Z579" s="280"/>
      <c r="AA579" s="280"/>
      <c r="AB579" s="280"/>
      <c r="AC579" s="280"/>
      <c r="AD579" s="280"/>
      <c r="AE579" s="280"/>
      <c r="AF579" s="280"/>
      <c r="AG579" s="280"/>
      <c r="AH579" s="280"/>
      <c r="AI579" s="280"/>
      <c r="AJ579" s="280"/>
      <c r="AK579" s="280"/>
      <c r="AL579" s="280"/>
      <c r="AM579" s="280"/>
      <c r="AN579" s="280"/>
      <c r="AO579" s="280"/>
      <c r="AP579" s="280"/>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row>
    <row r="580" spans="2:74" x14ac:dyDescent="0.2">
      <c r="B580" s="280"/>
      <c r="D580" s="280"/>
      <c r="E580" s="280"/>
      <c r="F580" s="280"/>
      <c r="G580" s="280"/>
      <c r="H580" s="280"/>
      <c r="I580" s="280"/>
      <c r="J580" s="280"/>
      <c r="K580" s="280"/>
      <c r="L580" s="280"/>
      <c r="M580" s="280"/>
      <c r="N580" s="280"/>
      <c r="O580" s="280"/>
      <c r="P580" s="280"/>
      <c r="Q580" s="280"/>
      <c r="R580" s="280"/>
      <c r="S580" s="280"/>
      <c r="T580" s="280"/>
      <c r="U580" s="280"/>
      <c r="V580" s="280"/>
      <c r="W580" s="280"/>
      <c r="X580" s="280"/>
      <c r="Y580" s="280"/>
      <c r="Z580" s="280"/>
      <c r="AA580" s="280"/>
      <c r="AB580" s="280"/>
      <c r="AC580" s="280"/>
      <c r="AD580" s="280"/>
      <c r="AE580" s="280"/>
      <c r="AF580" s="280"/>
      <c r="AG580" s="280"/>
      <c r="AH580" s="280"/>
      <c r="AI580" s="280"/>
      <c r="AJ580" s="280"/>
      <c r="AK580" s="280"/>
      <c r="AL580" s="280"/>
      <c r="AM580" s="280"/>
      <c r="AN580" s="280"/>
      <c r="AO580" s="280"/>
      <c r="AP580" s="280"/>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row>
    <row r="581" spans="2:74" x14ac:dyDescent="0.2">
      <c r="B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0"/>
      <c r="AL581" s="280"/>
      <c r="AM581" s="280"/>
      <c r="AN581" s="280"/>
      <c r="AO581" s="280"/>
      <c r="AP581" s="280"/>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row>
    <row r="582" spans="2:74" x14ac:dyDescent="0.2">
      <c r="B582" s="280"/>
      <c r="D582" s="280"/>
      <c r="E582" s="280"/>
      <c r="F582" s="280"/>
      <c r="G582" s="280"/>
      <c r="H582" s="280"/>
      <c r="I582" s="280"/>
      <c r="J582" s="280"/>
      <c r="K582" s="280"/>
      <c r="L582" s="280"/>
      <c r="M582" s="280"/>
      <c r="N582" s="280"/>
      <c r="O582" s="280"/>
      <c r="P582" s="280"/>
      <c r="Q582" s="280"/>
      <c r="R582" s="280"/>
      <c r="S582" s="280"/>
      <c r="T582" s="280"/>
      <c r="U582" s="280"/>
      <c r="V582" s="280"/>
      <c r="W582" s="280"/>
      <c r="X582" s="280"/>
      <c r="Y582" s="280"/>
      <c r="Z582" s="280"/>
      <c r="AA582" s="280"/>
      <c r="AB582" s="280"/>
      <c r="AC582" s="280"/>
      <c r="AD582" s="280"/>
      <c r="AE582" s="280"/>
      <c r="AF582" s="280"/>
      <c r="AG582" s="280"/>
      <c r="AH582" s="280"/>
      <c r="AI582" s="280"/>
      <c r="AJ582" s="280"/>
      <c r="AK582" s="280"/>
      <c r="AL582" s="280"/>
      <c r="AM582" s="280"/>
      <c r="AN582" s="280"/>
      <c r="AO582" s="280"/>
      <c r="AP582" s="280"/>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row>
    <row r="583" spans="2:74" x14ac:dyDescent="0.2">
      <c r="B583" s="280"/>
      <c r="D583" s="280"/>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c r="AH583" s="280"/>
      <c r="AI583" s="280"/>
      <c r="AJ583" s="280"/>
      <c r="AK583" s="280"/>
      <c r="AL583" s="280"/>
      <c r="AM583" s="280"/>
      <c r="AN583" s="280"/>
      <c r="AO583" s="280"/>
      <c r="AP583" s="280"/>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row>
    <row r="584" spans="2:74" x14ac:dyDescent="0.2">
      <c r="B584" s="280"/>
      <c r="D584" s="280"/>
      <c r="E584" s="280"/>
      <c r="F584" s="280"/>
      <c r="G584" s="280"/>
      <c r="H584" s="280"/>
      <c r="I584" s="280"/>
      <c r="J584" s="280"/>
      <c r="K584" s="280"/>
      <c r="L584" s="280"/>
      <c r="M584" s="280"/>
      <c r="N584" s="280"/>
      <c r="O584" s="280"/>
      <c r="P584" s="280"/>
      <c r="Q584" s="280"/>
      <c r="R584" s="280"/>
      <c r="S584" s="280"/>
      <c r="T584" s="280"/>
      <c r="U584" s="280"/>
      <c r="V584" s="280"/>
      <c r="W584" s="280"/>
      <c r="X584" s="280"/>
      <c r="Y584" s="280"/>
      <c r="Z584" s="280"/>
      <c r="AA584" s="280"/>
      <c r="AB584" s="280"/>
      <c r="AC584" s="280"/>
      <c r="AD584" s="280"/>
      <c r="AE584" s="280"/>
      <c r="AF584" s="280"/>
      <c r="AG584" s="280"/>
      <c r="AH584" s="280"/>
      <c r="AI584" s="280"/>
      <c r="AJ584" s="280"/>
      <c r="AK584" s="280"/>
      <c r="AL584" s="280"/>
      <c r="AM584" s="280"/>
      <c r="AN584" s="280"/>
      <c r="AO584" s="280"/>
      <c r="AP584" s="280"/>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row>
    <row r="585" spans="2:74" x14ac:dyDescent="0.2">
      <c r="B585" s="280"/>
      <c r="D585" s="280"/>
      <c r="E585" s="280"/>
      <c r="F585" s="280"/>
      <c r="G585" s="280"/>
      <c r="H585" s="280"/>
      <c r="I585" s="280"/>
      <c r="J585" s="280"/>
      <c r="K585" s="280"/>
      <c r="L585" s="280"/>
      <c r="M585" s="280"/>
      <c r="N585" s="280"/>
      <c r="O585" s="280"/>
      <c r="P585" s="280"/>
      <c r="Q585" s="280"/>
      <c r="R585" s="280"/>
      <c r="S585" s="280"/>
      <c r="T585" s="280"/>
      <c r="U585" s="280"/>
      <c r="V585" s="280"/>
      <c r="W585" s="280"/>
      <c r="X585" s="280"/>
      <c r="Y585" s="280"/>
      <c r="Z585" s="280"/>
      <c r="AA585" s="280"/>
      <c r="AB585" s="280"/>
      <c r="AC585" s="280"/>
      <c r="AD585" s="280"/>
      <c r="AE585" s="280"/>
      <c r="AF585" s="280"/>
      <c r="AG585" s="280"/>
      <c r="AH585" s="280"/>
      <c r="AI585" s="280"/>
      <c r="AJ585" s="280"/>
      <c r="AK585" s="280"/>
      <c r="AL585" s="280"/>
      <c r="AM585" s="280"/>
      <c r="AN585" s="280"/>
      <c r="AO585" s="280"/>
      <c r="AP585" s="280"/>
      <c r="AQ585" s="280"/>
      <c r="AR585" s="280"/>
      <c r="AS585" s="280"/>
      <c r="AT585" s="280"/>
      <c r="AU585" s="280"/>
      <c r="AV585" s="280"/>
      <c r="AW585" s="280"/>
      <c r="AX585" s="280"/>
      <c r="AY585" s="280"/>
      <c r="AZ585" s="280"/>
      <c r="BA585" s="280"/>
      <c r="BB585" s="280"/>
      <c r="BC585" s="280"/>
      <c r="BD585" s="280"/>
      <c r="BE585" s="280"/>
      <c r="BF585" s="280"/>
      <c r="BG585" s="280"/>
      <c r="BH585" s="280"/>
      <c r="BI585" s="280"/>
      <c r="BJ585" s="280"/>
      <c r="BK585" s="280"/>
      <c r="BL585" s="280"/>
      <c r="BM585" s="280"/>
      <c r="BN585" s="280"/>
      <c r="BO585" s="280"/>
      <c r="BP585" s="280"/>
      <c r="BQ585" s="280"/>
      <c r="BR585" s="280"/>
      <c r="BS585" s="280"/>
      <c r="BT585" s="280"/>
      <c r="BU585" s="280"/>
      <c r="BV585" s="280"/>
    </row>
    <row r="586" spans="2:74" x14ac:dyDescent="0.2">
      <c r="B586" s="280"/>
      <c r="D586" s="280"/>
      <c r="E586" s="280"/>
      <c r="F586" s="280"/>
      <c r="G586" s="280"/>
      <c r="H586" s="280"/>
      <c r="I586" s="280"/>
      <c r="J586" s="280"/>
      <c r="K586" s="280"/>
      <c r="L586" s="280"/>
      <c r="M586" s="280"/>
      <c r="N586" s="280"/>
      <c r="O586" s="280"/>
      <c r="P586" s="280"/>
      <c r="Q586" s="280"/>
      <c r="R586" s="280"/>
      <c r="S586" s="280"/>
      <c r="T586" s="280"/>
      <c r="U586" s="280"/>
      <c r="V586" s="280"/>
      <c r="W586" s="280"/>
      <c r="X586" s="280"/>
      <c r="Y586" s="280"/>
      <c r="Z586" s="280"/>
      <c r="AA586" s="280"/>
      <c r="AB586" s="280"/>
      <c r="AC586" s="280"/>
      <c r="AD586" s="280"/>
      <c r="AE586" s="280"/>
      <c r="AF586" s="280"/>
      <c r="AG586" s="280"/>
      <c r="AH586" s="280"/>
      <c r="AI586" s="280"/>
      <c r="AJ586" s="280"/>
      <c r="AK586" s="280"/>
      <c r="AL586" s="280"/>
      <c r="AM586" s="280"/>
      <c r="AN586" s="280"/>
      <c r="AO586" s="280"/>
      <c r="AP586" s="280"/>
      <c r="AQ586" s="280"/>
      <c r="AR586" s="280"/>
      <c r="AS586" s="280"/>
      <c r="AT586" s="280"/>
      <c r="AU586" s="280"/>
      <c r="AV586" s="280"/>
      <c r="AW586" s="280"/>
      <c r="AX586" s="280"/>
      <c r="AY586" s="280"/>
      <c r="AZ586" s="280"/>
      <c r="BA586" s="280"/>
      <c r="BB586" s="280"/>
      <c r="BC586" s="280"/>
      <c r="BD586" s="280"/>
      <c r="BE586" s="280"/>
      <c r="BF586" s="280"/>
      <c r="BG586" s="280"/>
      <c r="BH586" s="280"/>
      <c r="BI586" s="280"/>
      <c r="BJ586" s="280"/>
      <c r="BK586" s="280"/>
      <c r="BL586" s="280"/>
      <c r="BM586" s="280"/>
      <c r="BN586" s="280"/>
      <c r="BO586" s="280"/>
      <c r="BP586" s="280"/>
      <c r="BQ586" s="280"/>
      <c r="BR586" s="280"/>
      <c r="BS586" s="280"/>
      <c r="BT586" s="280"/>
      <c r="BU586" s="280"/>
      <c r="BV586" s="280"/>
    </row>
    <row r="587" spans="2:74" x14ac:dyDescent="0.2">
      <c r="B587" s="280"/>
      <c r="D587" s="280"/>
      <c r="E587" s="280"/>
      <c r="F587" s="280"/>
      <c r="G587" s="280"/>
      <c r="H587" s="280"/>
      <c r="I587" s="280"/>
      <c r="J587" s="280"/>
      <c r="K587" s="280"/>
      <c r="L587" s="280"/>
      <c r="M587" s="280"/>
      <c r="N587" s="280"/>
      <c r="O587" s="280"/>
      <c r="P587" s="280"/>
      <c r="Q587" s="280"/>
      <c r="R587" s="280"/>
      <c r="S587" s="280"/>
      <c r="T587" s="280"/>
      <c r="U587" s="280"/>
      <c r="V587" s="280"/>
      <c r="W587" s="280"/>
      <c r="X587" s="280"/>
      <c r="Y587" s="280"/>
      <c r="Z587" s="280"/>
      <c r="AA587" s="280"/>
      <c r="AB587" s="280"/>
      <c r="AC587" s="280"/>
      <c r="AD587" s="280"/>
      <c r="AE587" s="280"/>
      <c r="AF587" s="280"/>
      <c r="AG587" s="280"/>
      <c r="AH587" s="280"/>
      <c r="AI587" s="280"/>
      <c r="AJ587" s="280"/>
      <c r="AK587" s="280"/>
      <c r="AL587" s="280"/>
      <c r="AM587" s="280"/>
      <c r="AN587" s="280"/>
      <c r="AO587" s="280"/>
      <c r="AP587" s="280"/>
      <c r="AQ587" s="280"/>
      <c r="AR587" s="280"/>
      <c r="AS587" s="280"/>
      <c r="AT587" s="280"/>
      <c r="AU587" s="280"/>
      <c r="AV587" s="280"/>
      <c r="AW587" s="280"/>
      <c r="AX587" s="280"/>
      <c r="AY587" s="280"/>
      <c r="AZ587" s="280"/>
      <c r="BA587" s="280"/>
      <c r="BB587" s="280"/>
      <c r="BC587" s="280"/>
      <c r="BD587" s="280"/>
      <c r="BE587" s="280"/>
      <c r="BF587" s="280"/>
      <c r="BG587" s="280"/>
      <c r="BH587" s="280"/>
      <c r="BI587" s="280"/>
      <c r="BJ587" s="280"/>
      <c r="BK587" s="280"/>
      <c r="BL587" s="280"/>
      <c r="BM587" s="280"/>
      <c r="BN587" s="280"/>
      <c r="BO587" s="280"/>
      <c r="BP587" s="280"/>
      <c r="BQ587" s="280"/>
      <c r="BR587" s="280"/>
      <c r="BS587" s="280"/>
      <c r="BT587" s="280"/>
      <c r="BU587" s="280"/>
      <c r="BV587" s="280"/>
    </row>
    <row r="588" spans="2:74" x14ac:dyDescent="0.2">
      <c r="B588" s="280"/>
      <c r="D588" s="280"/>
      <c r="E588" s="280"/>
      <c r="F588" s="280"/>
      <c r="G588" s="280"/>
      <c r="H588" s="280"/>
      <c r="I588" s="280"/>
      <c r="J588" s="280"/>
      <c r="K588" s="280"/>
      <c r="L588" s="280"/>
      <c r="M588" s="280"/>
      <c r="N588" s="280"/>
      <c r="O588" s="280"/>
      <c r="P588" s="280"/>
      <c r="Q588" s="280"/>
      <c r="R588" s="280"/>
      <c r="S588" s="280"/>
      <c r="T588" s="280"/>
      <c r="U588" s="280"/>
      <c r="V588" s="280"/>
      <c r="W588" s="280"/>
      <c r="X588" s="280"/>
      <c r="Y588" s="280"/>
      <c r="Z588" s="280"/>
      <c r="AA588" s="280"/>
      <c r="AB588" s="280"/>
      <c r="AC588" s="280"/>
      <c r="AD588" s="280"/>
      <c r="AE588" s="280"/>
      <c r="AF588" s="280"/>
      <c r="AG588" s="280"/>
      <c r="AH588" s="280"/>
      <c r="AI588" s="280"/>
      <c r="AJ588" s="280"/>
      <c r="AK588" s="280"/>
      <c r="AL588" s="280"/>
      <c r="AM588" s="280"/>
      <c r="AN588" s="280"/>
      <c r="AO588" s="280"/>
      <c r="AP588" s="280"/>
      <c r="AQ588" s="280"/>
      <c r="AR588" s="280"/>
      <c r="AS588" s="280"/>
      <c r="AT588" s="280"/>
      <c r="AU588" s="280"/>
      <c r="AV588" s="280"/>
      <c r="AW588" s="280"/>
      <c r="AX588" s="280"/>
      <c r="AY588" s="280"/>
      <c r="AZ588" s="280"/>
      <c r="BA588" s="280"/>
      <c r="BB588" s="280"/>
      <c r="BC588" s="280"/>
      <c r="BD588" s="280"/>
      <c r="BE588" s="280"/>
      <c r="BF588" s="280"/>
      <c r="BG588" s="280"/>
      <c r="BH588" s="280"/>
      <c r="BI588" s="280"/>
      <c r="BJ588" s="280"/>
      <c r="BK588" s="280"/>
      <c r="BL588" s="280"/>
      <c r="BM588" s="280"/>
      <c r="BN588" s="280"/>
      <c r="BO588" s="280"/>
      <c r="BP588" s="280"/>
      <c r="BQ588" s="280"/>
      <c r="BR588" s="280"/>
      <c r="BS588" s="280"/>
      <c r="BT588" s="280"/>
      <c r="BU588" s="280"/>
      <c r="BV588" s="280"/>
    </row>
    <row r="589" spans="2:74" x14ac:dyDescent="0.2">
      <c r="B589" s="280"/>
      <c r="D589" s="280"/>
      <c r="E589" s="280"/>
      <c r="F589" s="280"/>
      <c r="G589" s="280"/>
      <c r="H589" s="280"/>
      <c r="I589" s="280"/>
      <c r="J589" s="280"/>
      <c r="K589" s="280"/>
      <c r="L589" s="280"/>
      <c r="M589" s="280"/>
      <c r="N589" s="280"/>
      <c r="O589" s="280"/>
      <c r="P589" s="280"/>
      <c r="Q589" s="280"/>
      <c r="R589" s="280"/>
      <c r="S589" s="280"/>
      <c r="T589" s="280"/>
      <c r="U589" s="280"/>
      <c r="V589" s="280"/>
      <c r="W589" s="280"/>
      <c r="X589" s="280"/>
      <c r="Y589" s="280"/>
      <c r="Z589" s="280"/>
      <c r="AA589" s="280"/>
      <c r="AB589" s="280"/>
      <c r="AC589" s="280"/>
      <c r="AD589" s="280"/>
      <c r="AE589" s="280"/>
      <c r="AF589" s="280"/>
      <c r="AG589" s="280"/>
      <c r="AH589" s="280"/>
      <c r="AI589" s="280"/>
      <c r="AJ589" s="280"/>
      <c r="AK589" s="280"/>
      <c r="AL589" s="280"/>
      <c r="AM589" s="280"/>
      <c r="AN589" s="280"/>
      <c r="AO589" s="280"/>
      <c r="AP589" s="280"/>
      <c r="AQ589" s="280"/>
      <c r="AR589" s="280"/>
      <c r="AS589" s="280"/>
      <c r="AT589" s="280"/>
      <c r="AU589" s="280"/>
      <c r="AV589" s="280"/>
      <c r="AW589" s="280"/>
      <c r="AX589" s="280"/>
      <c r="AY589" s="280"/>
      <c r="AZ589" s="280"/>
      <c r="BA589" s="280"/>
      <c r="BB589" s="280"/>
      <c r="BC589" s="280"/>
      <c r="BD589" s="280"/>
      <c r="BE589" s="280"/>
      <c r="BF589" s="280"/>
      <c r="BG589" s="280"/>
      <c r="BH589" s="280"/>
      <c r="BI589" s="280"/>
      <c r="BJ589" s="280"/>
      <c r="BK589" s="280"/>
      <c r="BL589" s="280"/>
      <c r="BM589" s="280"/>
      <c r="BN589" s="280"/>
      <c r="BO589" s="280"/>
      <c r="BP589" s="280"/>
      <c r="BQ589" s="280"/>
      <c r="BR589" s="280"/>
      <c r="BS589" s="280"/>
      <c r="BT589" s="280"/>
      <c r="BU589" s="280"/>
      <c r="BV589" s="280"/>
    </row>
    <row r="590" spans="2:74" x14ac:dyDescent="0.2">
      <c r="B590" s="280"/>
      <c r="D590" s="280"/>
      <c r="E590" s="280"/>
      <c r="F590" s="280"/>
      <c r="G590" s="280"/>
      <c r="H590" s="280"/>
      <c r="I590" s="280"/>
      <c r="J590" s="280"/>
      <c r="K590" s="280"/>
      <c r="L590" s="280"/>
      <c r="M590" s="280"/>
      <c r="N590" s="280"/>
      <c r="O590" s="280"/>
      <c r="P590" s="280"/>
      <c r="Q590" s="280"/>
      <c r="R590" s="280"/>
      <c r="S590" s="280"/>
      <c r="T590" s="280"/>
      <c r="U590" s="280"/>
      <c r="V590" s="280"/>
      <c r="W590" s="280"/>
      <c r="X590" s="280"/>
      <c r="Y590" s="280"/>
      <c r="Z590" s="280"/>
      <c r="AA590" s="280"/>
      <c r="AB590" s="280"/>
      <c r="AC590" s="280"/>
      <c r="AD590" s="280"/>
      <c r="AE590" s="280"/>
      <c r="AF590" s="280"/>
      <c r="AG590" s="280"/>
      <c r="AH590" s="280"/>
      <c r="AI590" s="280"/>
      <c r="AJ590" s="280"/>
      <c r="AK590" s="280"/>
      <c r="AL590" s="280"/>
      <c r="AM590" s="280"/>
      <c r="AN590" s="280"/>
      <c r="AO590" s="280"/>
      <c r="AP590" s="280"/>
      <c r="AQ590" s="280"/>
      <c r="AR590" s="280"/>
      <c r="AS590" s="280"/>
      <c r="AT590" s="280"/>
      <c r="AU590" s="280"/>
      <c r="AV590" s="280"/>
      <c r="AW590" s="280"/>
      <c r="AX590" s="280"/>
      <c r="AY590" s="280"/>
      <c r="AZ590" s="280"/>
      <c r="BA590" s="280"/>
      <c r="BB590" s="280"/>
      <c r="BC590" s="280"/>
      <c r="BD590" s="280"/>
      <c r="BE590" s="280"/>
      <c r="BF590" s="280"/>
      <c r="BG590" s="280"/>
      <c r="BH590" s="280"/>
      <c r="BI590" s="280"/>
      <c r="BJ590" s="280"/>
      <c r="BK590" s="280"/>
      <c r="BL590" s="280"/>
      <c r="BM590" s="280"/>
      <c r="BN590" s="280"/>
      <c r="BO590" s="280"/>
      <c r="BP590" s="280"/>
      <c r="BQ590" s="280"/>
      <c r="BR590" s="280"/>
      <c r="BS590" s="280"/>
      <c r="BT590" s="280"/>
      <c r="BU590" s="280"/>
      <c r="BV590" s="280"/>
    </row>
    <row r="591" spans="2:74" x14ac:dyDescent="0.2">
      <c r="B591" s="280"/>
      <c r="D591" s="280"/>
      <c r="E591" s="280"/>
      <c r="F591" s="280"/>
      <c r="G591" s="280"/>
      <c r="H591" s="280"/>
      <c r="I591" s="280"/>
      <c r="J591" s="280"/>
      <c r="K591" s="280"/>
      <c r="L591" s="280"/>
      <c r="M591" s="280"/>
      <c r="N591" s="280"/>
      <c r="O591" s="280"/>
      <c r="P591" s="280"/>
      <c r="Q591" s="280"/>
      <c r="R591" s="280"/>
      <c r="S591" s="280"/>
      <c r="T591" s="280"/>
      <c r="U591" s="280"/>
      <c r="V591" s="280"/>
      <c r="W591" s="280"/>
      <c r="X591" s="280"/>
      <c r="Y591" s="280"/>
      <c r="Z591" s="280"/>
      <c r="AA591" s="280"/>
      <c r="AB591" s="280"/>
      <c r="AC591" s="280"/>
      <c r="AD591" s="280"/>
      <c r="AE591" s="280"/>
      <c r="AF591" s="280"/>
      <c r="AG591" s="280"/>
      <c r="AH591" s="280"/>
      <c r="AI591" s="280"/>
      <c r="AJ591" s="280"/>
      <c r="AK591" s="280"/>
      <c r="AL591" s="280"/>
      <c r="AM591" s="280"/>
      <c r="AN591" s="280"/>
      <c r="AO591" s="280"/>
      <c r="AP591" s="280"/>
      <c r="AQ591" s="280"/>
      <c r="AR591" s="280"/>
      <c r="AS591" s="280"/>
      <c r="AT591" s="280"/>
      <c r="AU591" s="280"/>
      <c r="AV591" s="280"/>
      <c r="AW591" s="280"/>
      <c r="AX591" s="280"/>
      <c r="AY591" s="280"/>
      <c r="AZ591" s="280"/>
      <c r="BA591" s="280"/>
      <c r="BB591" s="280"/>
      <c r="BC591" s="280"/>
      <c r="BD591" s="280"/>
      <c r="BE591" s="280"/>
      <c r="BF591" s="280"/>
      <c r="BG591" s="280"/>
      <c r="BH591" s="280"/>
      <c r="BI591" s="280"/>
      <c r="BJ591" s="280"/>
      <c r="BK591" s="280"/>
      <c r="BL591" s="280"/>
      <c r="BM591" s="280"/>
      <c r="BN591" s="280"/>
      <c r="BO591" s="280"/>
      <c r="BP591" s="280"/>
      <c r="BQ591" s="280"/>
      <c r="BR591" s="280"/>
      <c r="BS591" s="280"/>
      <c r="BT591" s="280"/>
      <c r="BU591" s="280"/>
      <c r="BV591" s="280"/>
    </row>
    <row r="592" spans="2:74" x14ac:dyDescent="0.2">
      <c r="B592" s="280"/>
      <c r="D592" s="280"/>
      <c r="E592" s="280"/>
      <c r="F592" s="280"/>
      <c r="G592" s="280"/>
      <c r="H592" s="280"/>
      <c r="I592" s="280"/>
      <c r="J592" s="280"/>
      <c r="K592" s="280"/>
      <c r="L592" s="280"/>
      <c r="M592" s="280"/>
      <c r="N592" s="280"/>
      <c r="O592" s="280"/>
      <c r="P592" s="280"/>
      <c r="Q592" s="280"/>
      <c r="R592" s="280"/>
      <c r="S592" s="280"/>
      <c r="T592" s="280"/>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0"/>
      <c r="AY592" s="280"/>
      <c r="AZ592" s="280"/>
      <c r="BA592" s="280"/>
      <c r="BB592" s="280"/>
      <c r="BC592" s="280"/>
      <c r="BD592" s="280"/>
      <c r="BE592" s="280"/>
      <c r="BF592" s="280"/>
      <c r="BG592" s="280"/>
      <c r="BH592" s="280"/>
      <c r="BI592" s="280"/>
      <c r="BJ592" s="280"/>
      <c r="BK592" s="280"/>
      <c r="BL592" s="280"/>
      <c r="BM592" s="280"/>
      <c r="BN592" s="280"/>
      <c r="BO592" s="280"/>
      <c r="BP592" s="280"/>
      <c r="BQ592" s="280"/>
      <c r="BR592" s="280"/>
      <c r="BS592" s="280"/>
      <c r="BT592" s="280"/>
      <c r="BU592" s="280"/>
      <c r="BV592" s="280"/>
    </row>
    <row r="593" spans="2:74" x14ac:dyDescent="0.2">
      <c r="B593" s="280"/>
      <c r="D593" s="280"/>
      <c r="E593" s="280"/>
      <c r="F593" s="280"/>
      <c r="G593" s="280"/>
      <c r="H593" s="280"/>
      <c r="I593" s="280"/>
      <c r="J593" s="280"/>
      <c r="K593" s="280"/>
      <c r="L593" s="280"/>
      <c r="M593" s="280"/>
      <c r="N593" s="280"/>
      <c r="O593" s="280"/>
      <c r="P593" s="280"/>
      <c r="Q593" s="280"/>
      <c r="R593" s="280"/>
      <c r="S593" s="280"/>
      <c r="T593" s="280"/>
      <c r="U593" s="280"/>
      <c r="V593" s="280"/>
      <c r="W593" s="280"/>
      <c r="X593" s="280"/>
      <c r="Y593" s="280"/>
      <c r="Z593" s="280"/>
      <c r="AA593" s="280"/>
      <c r="AB593" s="280"/>
      <c r="AC593" s="280"/>
      <c r="AD593" s="280"/>
      <c r="AE593" s="280"/>
      <c r="AF593" s="280"/>
      <c r="AG593" s="280"/>
      <c r="AH593" s="280"/>
      <c r="AI593" s="280"/>
      <c r="AJ593" s="280"/>
      <c r="AK593" s="280"/>
      <c r="AL593" s="280"/>
      <c r="AM593" s="280"/>
      <c r="AN593" s="280"/>
      <c r="AO593" s="280"/>
      <c r="AP593" s="280"/>
      <c r="AQ593" s="280"/>
      <c r="AR593" s="280"/>
      <c r="AS593" s="280"/>
      <c r="AT593" s="280"/>
      <c r="AU593" s="280"/>
      <c r="AV593" s="280"/>
      <c r="AW593" s="280"/>
      <c r="AX593" s="280"/>
      <c r="AY593" s="280"/>
      <c r="AZ593" s="280"/>
      <c r="BA593" s="280"/>
      <c r="BB593" s="280"/>
      <c r="BC593" s="280"/>
      <c r="BD593" s="280"/>
      <c r="BE593" s="280"/>
      <c r="BF593" s="280"/>
      <c r="BG593" s="280"/>
      <c r="BH593" s="280"/>
      <c r="BI593" s="280"/>
      <c r="BJ593" s="280"/>
      <c r="BK593" s="280"/>
      <c r="BL593" s="280"/>
      <c r="BM593" s="280"/>
      <c r="BN593" s="280"/>
      <c r="BO593" s="280"/>
      <c r="BP593" s="280"/>
      <c r="BQ593" s="280"/>
      <c r="BR593" s="280"/>
      <c r="BS593" s="280"/>
      <c r="BT593" s="280"/>
      <c r="BU593" s="280"/>
      <c r="BV593" s="280"/>
    </row>
    <row r="594" spans="2:74" x14ac:dyDescent="0.2">
      <c r="B594" s="280"/>
      <c r="D594" s="280"/>
      <c r="E594" s="280"/>
      <c r="F594" s="280"/>
      <c r="G594" s="280"/>
      <c r="H594" s="280"/>
      <c r="I594" s="280"/>
      <c r="J594" s="280"/>
      <c r="K594" s="280"/>
      <c r="L594" s="280"/>
      <c r="M594" s="280"/>
      <c r="N594" s="280"/>
      <c r="O594" s="280"/>
      <c r="P594" s="280"/>
      <c r="Q594" s="280"/>
      <c r="R594" s="280"/>
      <c r="S594" s="280"/>
      <c r="T594" s="280"/>
      <c r="U594" s="280"/>
      <c r="V594" s="280"/>
      <c r="W594" s="280"/>
      <c r="X594" s="280"/>
      <c r="Y594" s="280"/>
      <c r="Z594" s="280"/>
      <c r="AA594" s="280"/>
      <c r="AB594" s="280"/>
      <c r="AC594" s="280"/>
      <c r="AD594" s="280"/>
      <c r="AE594" s="280"/>
      <c r="AF594" s="280"/>
      <c r="AG594" s="280"/>
      <c r="AH594" s="280"/>
      <c r="AI594" s="280"/>
      <c r="AJ594" s="280"/>
      <c r="AK594" s="280"/>
      <c r="AL594" s="280"/>
      <c r="AM594" s="280"/>
      <c r="AN594" s="280"/>
      <c r="AO594" s="280"/>
      <c r="AP594" s="280"/>
      <c r="AQ594" s="280"/>
      <c r="AR594" s="280"/>
      <c r="AS594" s="280"/>
      <c r="AT594" s="280"/>
      <c r="AU594" s="280"/>
      <c r="AV594" s="280"/>
      <c r="AW594" s="280"/>
      <c r="AX594" s="280"/>
      <c r="AY594" s="280"/>
      <c r="AZ594" s="280"/>
      <c r="BA594" s="280"/>
      <c r="BB594" s="280"/>
      <c r="BC594" s="280"/>
      <c r="BD594" s="280"/>
      <c r="BE594" s="280"/>
      <c r="BF594" s="280"/>
      <c r="BG594" s="280"/>
      <c r="BH594" s="280"/>
      <c r="BI594" s="280"/>
      <c r="BJ594" s="280"/>
      <c r="BK594" s="280"/>
      <c r="BL594" s="280"/>
      <c r="BM594" s="280"/>
      <c r="BN594" s="280"/>
      <c r="BO594" s="280"/>
      <c r="BP594" s="280"/>
      <c r="BQ594" s="280"/>
      <c r="BR594" s="280"/>
      <c r="BS594" s="280"/>
      <c r="BT594" s="280"/>
      <c r="BU594" s="280"/>
      <c r="BV594" s="280"/>
    </row>
    <row r="595" spans="2:74" x14ac:dyDescent="0.2">
      <c r="B595" s="280"/>
      <c r="D595" s="280"/>
      <c r="E595" s="280"/>
      <c r="F595" s="280"/>
      <c r="G595" s="280"/>
      <c r="H595" s="280"/>
      <c r="I595" s="280"/>
      <c r="J595" s="280"/>
      <c r="K595" s="280"/>
      <c r="L595" s="280"/>
      <c r="M595" s="280"/>
      <c r="N595" s="280"/>
      <c r="O595" s="280"/>
      <c r="P595" s="280"/>
      <c r="Q595" s="280"/>
      <c r="R595" s="280"/>
      <c r="S595" s="280"/>
      <c r="T595" s="280"/>
      <c r="U595" s="280"/>
      <c r="V595" s="280"/>
      <c r="W595" s="280"/>
      <c r="X595" s="280"/>
      <c r="Y595" s="280"/>
      <c r="Z595" s="280"/>
      <c r="AA595" s="280"/>
      <c r="AB595" s="280"/>
      <c r="AC595" s="280"/>
      <c r="AD595" s="280"/>
      <c r="AE595" s="280"/>
      <c r="AF595" s="280"/>
      <c r="AG595" s="280"/>
      <c r="AH595" s="280"/>
      <c r="AI595" s="280"/>
      <c r="AJ595" s="280"/>
      <c r="AK595" s="280"/>
      <c r="AL595" s="280"/>
      <c r="AM595" s="280"/>
      <c r="AN595" s="280"/>
      <c r="AO595" s="280"/>
      <c r="AP595" s="280"/>
      <c r="AQ595" s="280"/>
      <c r="AR595" s="280"/>
      <c r="AS595" s="280"/>
      <c r="AT595" s="280"/>
      <c r="AU595" s="280"/>
      <c r="AV595" s="280"/>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row>
    <row r="596" spans="2:74" x14ac:dyDescent="0.2">
      <c r="B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c r="AA596" s="280"/>
      <c r="AB596" s="280"/>
      <c r="AC596" s="280"/>
      <c r="AD596" s="280"/>
      <c r="AE596" s="280"/>
      <c r="AF596" s="280"/>
      <c r="AG596" s="280"/>
      <c r="AH596" s="280"/>
      <c r="AI596" s="280"/>
      <c r="AJ596" s="280"/>
      <c r="AK596" s="280"/>
      <c r="AL596" s="280"/>
      <c r="AM596" s="280"/>
      <c r="AN596" s="280"/>
      <c r="AO596" s="280"/>
      <c r="AP596" s="280"/>
      <c r="AQ596" s="280"/>
      <c r="AR596" s="280"/>
      <c r="AS596" s="280"/>
      <c r="AT596" s="280"/>
      <c r="AU596" s="280"/>
      <c r="AV596" s="280"/>
      <c r="AW596" s="280"/>
      <c r="AX596" s="280"/>
      <c r="AY596" s="280"/>
      <c r="AZ596" s="280"/>
      <c r="BA596" s="280"/>
      <c r="BB596" s="280"/>
      <c r="BC596" s="280"/>
      <c r="BD596" s="280"/>
      <c r="BE596" s="280"/>
      <c r="BF596" s="280"/>
      <c r="BG596" s="280"/>
      <c r="BH596" s="280"/>
      <c r="BI596" s="280"/>
      <c r="BJ596" s="280"/>
      <c r="BK596" s="280"/>
      <c r="BL596" s="280"/>
      <c r="BM596" s="280"/>
      <c r="BN596" s="280"/>
      <c r="BO596" s="280"/>
      <c r="BP596" s="280"/>
      <c r="BQ596" s="280"/>
      <c r="BR596" s="280"/>
      <c r="BS596" s="280"/>
      <c r="BT596" s="280"/>
      <c r="BU596" s="280"/>
      <c r="BV596" s="280"/>
    </row>
    <row r="597" spans="2:74" x14ac:dyDescent="0.2">
      <c r="B597" s="280"/>
      <c r="D597" s="280"/>
      <c r="E597" s="280"/>
      <c r="F597" s="280"/>
      <c r="G597" s="280"/>
      <c r="H597" s="280"/>
      <c r="I597" s="280"/>
      <c r="J597" s="280"/>
      <c r="K597" s="280"/>
      <c r="L597" s="280"/>
      <c r="M597" s="280"/>
      <c r="N597" s="280"/>
      <c r="O597" s="280"/>
      <c r="P597" s="280"/>
      <c r="Q597" s="280"/>
      <c r="R597" s="280"/>
      <c r="S597" s="280"/>
      <c r="T597" s="280"/>
      <c r="U597" s="280"/>
      <c r="V597" s="280"/>
      <c r="W597" s="280"/>
      <c r="X597" s="280"/>
      <c r="Y597" s="280"/>
      <c r="Z597" s="280"/>
      <c r="AA597" s="280"/>
      <c r="AB597" s="280"/>
      <c r="AC597" s="280"/>
      <c r="AD597" s="280"/>
      <c r="AE597" s="280"/>
      <c r="AF597" s="280"/>
      <c r="AG597" s="280"/>
      <c r="AH597" s="280"/>
      <c r="AI597" s="280"/>
      <c r="AJ597" s="280"/>
      <c r="AK597" s="280"/>
      <c r="AL597" s="280"/>
      <c r="AM597" s="280"/>
      <c r="AN597" s="280"/>
      <c r="AO597" s="280"/>
      <c r="AP597" s="280"/>
      <c r="AQ597" s="280"/>
      <c r="AR597" s="280"/>
      <c r="AS597" s="280"/>
      <c r="AT597" s="280"/>
      <c r="AU597" s="280"/>
      <c r="AV597" s="280"/>
      <c r="AW597" s="280"/>
      <c r="AX597" s="280"/>
      <c r="AY597" s="280"/>
      <c r="AZ597" s="280"/>
      <c r="BA597" s="280"/>
      <c r="BB597" s="280"/>
      <c r="BC597" s="280"/>
      <c r="BD597" s="280"/>
      <c r="BE597" s="280"/>
      <c r="BF597" s="280"/>
      <c r="BG597" s="280"/>
      <c r="BH597" s="280"/>
      <c r="BI597" s="280"/>
      <c r="BJ597" s="280"/>
      <c r="BK597" s="280"/>
      <c r="BL597" s="280"/>
      <c r="BM597" s="280"/>
      <c r="BN597" s="280"/>
      <c r="BO597" s="280"/>
      <c r="BP597" s="280"/>
      <c r="BQ597" s="280"/>
      <c r="BR597" s="280"/>
      <c r="BS597" s="280"/>
      <c r="BT597" s="280"/>
      <c r="BU597" s="280"/>
      <c r="BV597" s="280"/>
    </row>
    <row r="598" spans="2:74" x14ac:dyDescent="0.2">
      <c r="B598" s="280"/>
      <c r="D598" s="280"/>
      <c r="E598" s="280"/>
      <c r="F598" s="280"/>
      <c r="G598" s="280"/>
      <c r="H598" s="280"/>
      <c r="I598" s="280"/>
      <c r="J598" s="280"/>
      <c r="K598" s="280"/>
      <c r="L598" s="280"/>
      <c r="M598" s="280"/>
      <c r="N598" s="280"/>
      <c r="O598" s="280"/>
      <c r="P598" s="280"/>
      <c r="Q598" s="280"/>
      <c r="R598" s="280"/>
      <c r="S598" s="280"/>
      <c r="T598" s="280"/>
      <c r="U598" s="280"/>
      <c r="V598" s="280"/>
      <c r="W598" s="280"/>
      <c r="X598" s="280"/>
      <c r="Y598" s="280"/>
      <c r="Z598" s="280"/>
      <c r="AA598" s="280"/>
      <c r="AB598" s="280"/>
      <c r="AC598" s="280"/>
      <c r="AD598" s="280"/>
      <c r="AE598" s="280"/>
      <c r="AF598" s="280"/>
      <c r="AG598" s="280"/>
      <c r="AH598" s="280"/>
      <c r="AI598" s="280"/>
      <c r="AJ598" s="280"/>
      <c r="AK598" s="280"/>
      <c r="AL598" s="280"/>
      <c r="AM598" s="280"/>
      <c r="AN598" s="280"/>
      <c r="AO598" s="280"/>
      <c r="AP598" s="280"/>
      <c r="AQ598" s="280"/>
      <c r="AR598" s="280"/>
      <c r="AS598" s="280"/>
      <c r="AT598" s="280"/>
      <c r="AU598" s="280"/>
      <c r="AV598" s="280"/>
      <c r="AW598" s="280"/>
      <c r="AX598" s="280"/>
      <c r="AY598" s="280"/>
      <c r="AZ598" s="280"/>
      <c r="BA598" s="280"/>
      <c r="BB598" s="280"/>
      <c r="BC598" s="280"/>
      <c r="BD598" s="280"/>
      <c r="BE598" s="280"/>
      <c r="BF598" s="280"/>
      <c r="BG598" s="280"/>
      <c r="BH598" s="280"/>
      <c r="BI598" s="280"/>
      <c r="BJ598" s="280"/>
      <c r="BK598" s="280"/>
      <c r="BL598" s="280"/>
      <c r="BM598" s="280"/>
      <c r="BN598" s="280"/>
      <c r="BO598" s="280"/>
      <c r="BP598" s="280"/>
      <c r="BQ598" s="280"/>
      <c r="BR598" s="280"/>
      <c r="BS598" s="280"/>
      <c r="BT598" s="280"/>
      <c r="BU598" s="280"/>
      <c r="BV598" s="280"/>
    </row>
    <row r="599" spans="2:74" x14ac:dyDescent="0.2">
      <c r="B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0"/>
      <c r="AL599" s="280"/>
      <c r="AM599" s="280"/>
      <c r="AN599" s="280"/>
      <c r="AO599" s="280"/>
      <c r="AP599" s="280"/>
      <c r="AQ599" s="280"/>
      <c r="AR599" s="280"/>
      <c r="AS599" s="280"/>
      <c r="AT599" s="280"/>
      <c r="AU599" s="280"/>
      <c r="AV599" s="280"/>
      <c r="AW599" s="280"/>
      <c r="AX599" s="280"/>
      <c r="AY599" s="280"/>
      <c r="AZ599" s="280"/>
      <c r="BA599" s="280"/>
      <c r="BB599" s="280"/>
      <c r="BC599" s="280"/>
      <c r="BD599" s="280"/>
      <c r="BE599" s="280"/>
      <c r="BF599" s="280"/>
      <c r="BG599" s="280"/>
      <c r="BH599" s="280"/>
      <c r="BI599" s="280"/>
      <c r="BJ599" s="280"/>
      <c r="BK599" s="280"/>
      <c r="BL599" s="280"/>
      <c r="BM599" s="280"/>
      <c r="BN599" s="280"/>
      <c r="BO599" s="280"/>
      <c r="BP599" s="280"/>
      <c r="BQ599" s="280"/>
      <c r="BR599" s="280"/>
      <c r="BS599" s="280"/>
      <c r="BT599" s="280"/>
      <c r="BU599" s="280"/>
      <c r="BV599" s="280"/>
    </row>
    <row r="600" spans="2:74" x14ac:dyDescent="0.2">
      <c r="B600" s="280"/>
      <c r="D600" s="280"/>
      <c r="E600" s="280"/>
      <c r="F600" s="280"/>
      <c r="G600" s="280"/>
      <c r="H600" s="280"/>
      <c r="I600" s="280"/>
      <c r="J600" s="280"/>
      <c r="K600" s="280"/>
      <c r="L600" s="280"/>
      <c r="M600" s="280"/>
      <c r="N600" s="280"/>
      <c r="O600" s="280"/>
      <c r="P600" s="280"/>
      <c r="Q600" s="280"/>
      <c r="R600" s="280"/>
      <c r="S600" s="280"/>
      <c r="T600" s="280"/>
      <c r="U600" s="280"/>
      <c r="V600" s="280"/>
      <c r="W600" s="280"/>
      <c r="X600" s="280"/>
      <c r="Y600" s="280"/>
      <c r="Z600" s="280"/>
      <c r="AA600" s="280"/>
      <c r="AB600" s="280"/>
      <c r="AC600" s="280"/>
      <c r="AD600" s="280"/>
      <c r="AE600" s="280"/>
      <c r="AF600" s="280"/>
      <c r="AG600" s="280"/>
      <c r="AH600" s="280"/>
      <c r="AI600" s="280"/>
      <c r="AJ600" s="280"/>
      <c r="AK600" s="280"/>
      <c r="AL600" s="280"/>
      <c r="AM600" s="280"/>
      <c r="AN600" s="280"/>
      <c r="AO600" s="280"/>
      <c r="AP600" s="280"/>
      <c r="AQ600" s="280"/>
      <c r="AR600" s="280"/>
      <c r="AS600" s="280"/>
      <c r="AT600" s="280"/>
      <c r="AU600" s="280"/>
      <c r="AV600" s="280"/>
      <c r="AW600" s="280"/>
      <c r="AX600" s="280"/>
      <c r="AY600" s="280"/>
      <c r="AZ600" s="280"/>
      <c r="BA600" s="280"/>
      <c r="BB600" s="280"/>
      <c r="BC600" s="280"/>
      <c r="BD600" s="280"/>
      <c r="BE600" s="280"/>
      <c r="BF600" s="280"/>
      <c r="BG600" s="280"/>
      <c r="BH600" s="280"/>
      <c r="BI600" s="280"/>
      <c r="BJ600" s="280"/>
      <c r="BK600" s="280"/>
      <c r="BL600" s="280"/>
      <c r="BM600" s="280"/>
      <c r="BN600" s="280"/>
      <c r="BO600" s="280"/>
      <c r="BP600" s="280"/>
      <c r="BQ600" s="280"/>
      <c r="BR600" s="280"/>
      <c r="BS600" s="280"/>
      <c r="BT600" s="280"/>
      <c r="BU600" s="280"/>
      <c r="BV600" s="280"/>
    </row>
    <row r="601" spans="2:74" x14ac:dyDescent="0.2">
      <c r="B601" s="280"/>
      <c r="D601" s="280"/>
      <c r="E601" s="280"/>
      <c r="F601" s="280"/>
      <c r="G601" s="280"/>
      <c r="H601" s="280"/>
      <c r="I601" s="280"/>
      <c r="J601" s="280"/>
      <c r="K601" s="280"/>
      <c r="L601" s="280"/>
      <c r="M601" s="280"/>
      <c r="N601" s="280"/>
      <c r="O601" s="280"/>
      <c r="P601" s="280"/>
      <c r="Q601" s="280"/>
      <c r="R601" s="280"/>
      <c r="S601" s="280"/>
      <c r="T601" s="280"/>
      <c r="U601" s="280"/>
      <c r="V601" s="280"/>
      <c r="W601" s="280"/>
      <c r="X601" s="280"/>
      <c r="Y601" s="280"/>
      <c r="Z601" s="280"/>
      <c r="AA601" s="280"/>
      <c r="AB601" s="280"/>
      <c r="AC601" s="280"/>
      <c r="AD601" s="280"/>
      <c r="AE601" s="280"/>
      <c r="AF601" s="280"/>
      <c r="AG601" s="280"/>
      <c r="AH601" s="280"/>
      <c r="AI601" s="280"/>
      <c r="AJ601" s="280"/>
      <c r="AK601" s="280"/>
      <c r="AL601" s="280"/>
      <c r="AM601" s="280"/>
      <c r="AN601" s="280"/>
      <c r="AO601" s="280"/>
      <c r="AP601" s="280"/>
      <c r="AQ601" s="280"/>
      <c r="AR601" s="280"/>
      <c r="AS601" s="280"/>
      <c r="AT601" s="280"/>
      <c r="AU601" s="280"/>
      <c r="AV601" s="280"/>
      <c r="AW601" s="280"/>
      <c r="AX601" s="280"/>
      <c r="AY601" s="280"/>
      <c r="AZ601" s="280"/>
      <c r="BA601" s="280"/>
      <c r="BB601" s="280"/>
      <c r="BC601" s="280"/>
      <c r="BD601" s="280"/>
      <c r="BE601" s="280"/>
      <c r="BF601" s="280"/>
      <c r="BG601" s="280"/>
      <c r="BH601" s="280"/>
      <c r="BI601" s="280"/>
      <c r="BJ601" s="280"/>
      <c r="BK601" s="280"/>
      <c r="BL601" s="280"/>
      <c r="BM601" s="280"/>
      <c r="BN601" s="280"/>
      <c r="BO601" s="280"/>
      <c r="BP601" s="280"/>
      <c r="BQ601" s="280"/>
      <c r="BR601" s="280"/>
      <c r="BS601" s="280"/>
      <c r="BT601" s="280"/>
      <c r="BU601" s="280"/>
      <c r="BV601" s="280"/>
    </row>
    <row r="602" spans="2:74" x14ac:dyDescent="0.2">
      <c r="B602" s="280"/>
      <c r="D602" s="280"/>
      <c r="E602" s="280"/>
      <c r="F602" s="280"/>
      <c r="G602" s="280"/>
      <c r="H602" s="280"/>
      <c r="I602" s="280"/>
      <c r="J602" s="280"/>
      <c r="K602" s="280"/>
      <c r="L602" s="280"/>
      <c r="M602" s="280"/>
      <c r="N602" s="280"/>
      <c r="O602" s="280"/>
      <c r="P602" s="280"/>
      <c r="Q602" s="280"/>
      <c r="R602" s="280"/>
      <c r="S602" s="280"/>
      <c r="T602" s="280"/>
      <c r="U602" s="280"/>
      <c r="V602" s="280"/>
      <c r="W602" s="280"/>
      <c r="X602" s="280"/>
      <c r="Y602" s="280"/>
      <c r="Z602" s="280"/>
      <c r="AA602" s="280"/>
      <c r="AB602" s="280"/>
      <c r="AC602" s="280"/>
      <c r="AD602" s="280"/>
      <c r="AE602" s="280"/>
      <c r="AF602" s="280"/>
      <c r="AG602" s="280"/>
      <c r="AH602" s="280"/>
      <c r="AI602" s="280"/>
      <c r="AJ602" s="280"/>
      <c r="AK602" s="280"/>
      <c r="AL602" s="280"/>
      <c r="AM602" s="280"/>
      <c r="AN602" s="280"/>
      <c r="AO602" s="280"/>
      <c r="AP602" s="280"/>
      <c r="AQ602" s="280"/>
      <c r="AR602" s="280"/>
      <c r="AS602" s="280"/>
      <c r="AT602" s="280"/>
      <c r="AU602" s="280"/>
      <c r="AV602" s="280"/>
      <c r="AW602" s="280"/>
      <c r="AX602" s="280"/>
      <c r="AY602" s="280"/>
      <c r="AZ602" s="280"/>
      <c r="BA602" s="280"/>
      <c r="BB602" s="280"/>
      <c r="BC602" s="280"/>
      <c r="BD602" s="280"/>
      <c r="BE602" s="280"/>
      <c r="BF602" s="280"/>
      <c r="BG602" s="280"/>
      <c r="BH602" s="280"/>
      <c r="BI602" s="280"/>
      <c r="BJ602" s="280"/>
      <c r="BK602" s="280"/>
      <c r="BL602" s="280"/>
      <c r="BM602" s="280"/>
      <c r="BN602" s="280"/>
      <c r="BO602" s="280"/>
      <c r="BP602" s="280"/>
      <c r="BQ602" s="280"/>
      <c r="BR602" s="280"/>
      <c r="BS602" s="280"/>
      <c r="BT602" s="280"/>
      <c r="BU602" s="280"/>
      <c r="BV602" s="280"/>
    </row>
    <row r="603" spans="2:74" x14ac:dyDescent="0.2">
      <c r="B603" s="280"/>
      <c r="D603" s="280"/>
      <c r="E603" s="280"/>
      <c r="F603" s="280"/>
      <c r="G603" s="280"/>
      <c r="H603" s="280"/>
      <c r="I603" s="280"/>
      <c r="J603" s="280"/>
      <c r="K603" s="280"/>
      <c r="L603" s="280"/>
      <c r="M603" s="280"/>
      <c r="N603" s="280"/>
      <c r="O603" s="280"/>
      <c r="P603" s="280"/>
      <c r="Q603" s="280"/>
      <c r="R603" s="280"/>
      <c r="S603" s="280"/>
      <c r="T603" s="280"/>
      <c r="U603" s="280"/>
      <c r="V603" s="280"/>
      <c r="W603" s="280"/>
      <c r="X603" s="280"/>
      <c r="Y603" s="280"/>
      <c r="Z603" s="280"/>
      <c r="AA603" s="280"/>
      <c r="AB603" s="280"/>
      <c r="AC603" s="280"/>
      <c r="AD603" s="280"/>
      <c r="AE603" s="280"/>
      <c r="AF603" s="280"/>
      <c r="AG603" s="280"/>
      <c r="AH603" s="280"/>
      <c r="AI603" s="280"/>
      <c r="AJ603" s="280"/>
      <c r="AK603" s="280"/>
      <c r="AL603" s="280"/>
      <c r="AM603" s="280"/>
      <c r="AN603" s="280"/>
      <c r="AO603" s="280"/>
      <c r="AP603" s="280"/>
      <c r="AQ603" s="280"/>
      <c r="AR603" s="280"/>
      <c r="AS603" s="280"/>
      <c r="AT603" s="280"/>
      <c r="AU603" s="280"/>
      <c r="AV603" s="280"/>
      <c r="AW603" s="280"/>
      <c r="AX603" s="280"/>
      <c r="AY603" s="280"/>
      <c r="AZ603" s="280"/>
      <c r="BA603" s="280"/>
      <c r="BB603" s="280"/>
      <c r="BC603" s="280"/>
      <c r="BD603" s="280"/>
      <c r="BE603" s="280"/>
      <c r="BF603" s="280"/>
      <c r="BG603" s="280"/>
      <c r="BH603" s="280"/>
      <c r="BI603" s="280"/>
      <c r="BJ603" s="280"/>
      <c r="BK603" s="280"/>
      <c r="BL603" s="280"/>
      <c r="BM603" s="280"/>
      <c r="BN603" s="280"/>
      <c r="BO603" s="280"/>
      <c r="BP603" s="280"/>
      <c r="BQ603" s="280"/>
      <c r="BR603" s="280"/>
      <c r="BS603" s="280"/>
      <c r="BT603" s="280"/>
      <c r="BU603" s="280"/>
      <c r="BV603" s="280"/>
    </row>
    <row r="604" spans="2:74" x14ac:dyDescent="0.2">
      <c r="B604" s="280"/>
      <c r="D604" s="280"/>
      <c r="E604" s="280"/>
      <c r="F604" s="280"/>
      <c r="G604" s="280"/>
      <c r="H604" s="280"/>
      <c r="I604" s="280"/>
      <c r="J604" s="280"/>
      <c r="K604" s="280"/>
      <c r="L604" s="280"/>
      <c r="M604" s="280"/>
      <c r="N604" s="280"/>
      <c r="O604" s="280"/>
      <c r="P604" s="280"/>
      <c r="Q604" s="280"/>
      <c r="R604" s="280"/>
      <c r="S604" s="280"/>
      <c r="T604" s="280"/>
      <c r="U604" s="280"/>
      <c r="V604" s="280"/>
      <c r="W604" s="280"/>
      <c r="X604" s="280"/>
      <c r="Y604" s="280"/>
      <c r="Z604" s="280"/>
      <c r="AA604" s="280"/>
      <c r="AB604" s="280"/>
      <c r="AC604" s="280"/>
      <c r="AD604" s="280"/>
      <c r="AE604" s="280"/>
      <c r="AF604" s="280"/>
      <c r="AG604" s="280"/>
      <c r="AH604" s="280"/>
      <c r="AI604" s="280"/>
      <c r="AJ604" s="280"/>
      <c r="AK604" s="280"/>
      <c r="AL604" s="280"/>
      <c r="AM604" s="280"/>
      <c r="AN604" s="280"/>
      <c r="AO604" s="280"/>
      <c r="AP604" s="280"/>
      <c r="AQ604" s="280"/>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c r="BO604" s="280"/>
      <c r="BP604" s="280"/>
      <c r="BQ604" s="280"/>
      <c r="BR604" s="280"/>
      <c r="BS604" s="280"/>
      <c r="BT604" s="280"/>
      <c r="BU604" s="280"/>
      <c r="BV604" s="280"/>
    </row>
    <row r="605" spans="2:74" x14ac:dyDescent="0.2">
      <c r="B605" s="280"/>
      <c r="D605" s="280"/>
      <c r="E605" s="280"/>
      <c r="F605" s="280"/>
      <c r="G605" s="280"/>
      <c r="H605" s="280"/>
      <c r="I605" s="280"/>
      <c r="J605" s="280"/>
      <c r="K605" s="280"/>
      <c r="L605" s="280"/>
      <c r="M605" s="280"/>
      <c r="N605" s="280"/>
      <c r="O605" s="280"/>
      <c r="P605" s="280"/>
      <c r="Q605" s="280"/>
      <c r="R605" s="280"/>
      <c r="S605" s="280"/>
      <c r="T605" s="280"/>
      <c r="U605" s="280"/>
      <c r="V605" s="280"/>
      <c r="W605" s="280"/>
      <c r="X605" s="280"/>
      <c r="Y605" s="280"/>
      <c r="Z605" s="280"/>
      <c r="AA605" s="280"/>
      <c r="AB605" s="280"/>
      <c r="AC605" s="280"/>
      <c r="AD605" s="280"/>
      <c r="AE605" s="280"/>
      <c r="AF605" s="280"/>
      <c r="AG605" s="280"/>
      <c r="AH605" s="280"/>
      <c r="AI605" s="280"/>
      <c r="AJ605" s="280"/>
      <c r="AK605" s="280"/>
      <c r="AL605" s="280"/>
      <c r="AM605" s="280"/>
      <c r="AN605" s="280"/>
      <c r="AO605" s="280"/>
      <c r="AP605" s="280"/>
      <c r="AQ605" s="280"/>
      <c r="AR605" s="280"/>
      <c r="AS605" s="280"/>
      <c r="AT605" s="280"/>
      <c r="AU605" s="280"/>
      <c r="AV605" s="280"/>
      <c r="AW605" s="280"/>
      <c r="AX605" s="280"/>
      <c r="AY605" s="280"/>
      <c r="AZ605" s="280"/>
      <c r="BA605" s="280"/>
      <c r="BB605" s="280"/>
      <c r="BC605" s="280"/>
      <c r="BD605" s="280"/>
      <c r="BE605" s="280"/>
      <c r="BF605" s="280"/>
      <c r="BG605" s="280"/>
      <c r="BH605" s="280"/>
      <c r="BI605" s="280"/>
      <c r="BJ605" s="280"/>
      <c r="BK605" s="280"/>
      <c r="BL605" s="280"/>
      <c r="BM605" s="280"/>
      <c r="BN605" s="280"/>
      <c r="BO605" s="280"/>
      <c r="BP605" s="280"/>
      <c r="BQ605" s="280"/>
      <c r="BR605" s="280"/>
      <c r="BS605" s="280"/>
      <c r="BT605" s="280"/>
      <c r="BU605" s="280"/>
      <c r="BV605" s="280"/>
    </row>
    <row r="606" spans="2:74" x14ac:dyDescent="0.2">
      <c r="B606" s="280"/>
      <c r="D606" s="280"/>
      <c r="E606" s="280"/>
      <c r="F606" s="280"/>
      <c r="G606" s="280"/>
      <c r="H606" s="280"/>
      <c r="I606" s="280"/>
      <c r="J606" s="280"/>
      <c r="K606" s="280"/>
      <c r="L606" s="280"/>
      <c r="M606" s="280"/>
      <c r="N606" s="280"/>
      <c r="O606" s="280"/>
      <c r="P606" s="280"/>
      <c r="Q606" s="280"/>
      <c r="R606" s="280"/>
      <c r="S606" s="280"/>
      <c r="T606" s="280"/>
      <c r="U606" s="280"/>
      <c r="V606" s="280"/>
      <c r="W606" s="280"/>
      <c r="X606" s="280"/>
      <c r="Y606" s="280"/>
      <c r="Z606" s="280"/>
      <c r="AA606" s="280"/>
      <c r="AB606" s="280"/>
      <c r="AC606" s="280"/>
      <c r="AD606" s="280"/>
      <c r="AE606" s="280"/>
      <c r="AF606" s="280"/>
      <c r="AG606" s="280"/>
      <c r="AH606" s="280"/>
      <c r="AI606" s="280"/>
      <c r="AJ606" s="280"/>
      <c r="AK606" s="280"/>
      <c r="AL606" s="280"/>
      <c r="AM606" s="280"/>
      <c r="AN606" s="280"/>
      <c r="AO606" s="280"/>
      <c r="AP606" s="280"/>
      <c r="AQ606" s="280"/>
      <c r="AR606" s="280"/>
      <c r="AS606" s="280"/>
      <c r="AT606" s="280"/>
      <c r="AU606" s="280"/>
      <c r="AV606" s="280"/>
      <c r="AW606" s="280"/>
      <c r="AX606" s="280"/>
      <c r="AY606" s="280"/>
      <c r="AZ606" s="280"/>
      <c r="BA606" s="280"/>
      <c r="BB606" s="280"/>
      <c r="BC606" s="280"/>
      <c r="BD606" s="280"/>
      <c r="BE606" s="280"/>
      <c r="BF606" s="280"/>
      <c r="BG606" s="280"/>
      <c r="BH606" s="280"/>
      <c r="BI606" s="280"/>
      <c r="BJ606" s="280"/>
      <c r="BK606" s="280"/>
      <c r="BL606" s="280"/>
      <c r="BM606" s="280"/>
      <c r="BN606" s="280"/>
      <c r="BO606" s="280"/>
      <c r="BP606" s="280"/>
      <c r="BQ606" s="280"/>
      <c r="BR606" s="280"/>
      <c r="BS606" s="280"/>
      <c r="BT606" s="280"/>
      <c r="BU606" s="280"/>
      <c r="BV606" s="280"/>
    </row>
    <row r="607" spans="2:74" x14ac:dyDescent="0.2">
      <c r="B607" s="280"/>
      <c r="D607" s="280"/>
      <c r="E607" s="280"/>
      <c r="F607" s="280"/>
      <c r="G607" s="280"/>
      <c r="H607" s="280"/>
      <c r="I607" s="280"/>
      <c r="J607" s="280"/>
      <c r="K607" s="280"/>
      <c r="L607" s="280"/>
      <c r="M607" s="280"/>
      <c r="N607" s="280"/>
      <c r="O607" s="280"/>
      <c r="P607" s="280"/>
      <c r="Q607" s="280"/>
      <c r="R607" s="280"/>
      <c r="S607" s="280"/>
      <c r="T607" s="280"/>
      <c r="U607" s="280"/>
      <c r="V607" s="280"/>
      <c r="W607" s="280"/>
      <c r="X607" s="280"/>
      <c r="Y607" s="280"/>
      <c r="Z607" s="280"/>
      <c r="AA607" s="280"/>
      <c r="AB607" s="280"/>
      <c r="AC607" s="280"/>
      <c r="AD607" s="280"/>
      <c r="AE607" s="280"/>
      <c r="AF607" s="280"/>
      <c r="AG607" s="280"/>
      <c r="AH607" s="280"/>
      <c r="AI607" s="280"/>
      <c r="AJ607" s="280"/>
      <c r="AK607" s="280"/>
      <c r="AL607" s="280"/>
      <c r="AM607" s="280"/>
      <c r="AN607" s="280"/>
      <c r="AO607" s="280"/>
      <c r="AP607" s="280"/>
      <c r="AQ607" s="280"/>
      <c r="AR607" s="280"/>
      <c r="AS607" s="280"/>
      <c r="AT607" s="280"/>
      <c r="AU607" s="280"/>
      <c r="AV607" s="280"/>
      <c r="AW607" s="280"/>
      <c r="AX607" s="280"/>
      <c r="AY607" s="280"/>
      <c r="AZ607" s="280"/>
      <c r="BA607" s="280"/>
      <c r="BB607" s="280"/>
      <c r="BC607" s="280"/>
      <c r="BD607" s="280"/>
      <c r="BE607" s="280"/>
      <c r="BF607" s="280"/>
      <c r="BG607" s="280"/>
      <c r="BH607" s="280"/>
      <c r="BI607" s="280"/>
      <c r="BJ607" s="280"/>
      <c r="BK607" s="280"/>
      <c r="BL607" s="280"/>
      <c r="BM607" s="280"/>
      <c r="BN607" s="280"/>
      <c r="BO607" s="280"/>
      <c r="BP607" s="280"/>
      <c r="BQ607" s="280"/>
      <c r="BR607" s="280"/>
      <c r="BS607" s="280"/>
      <c r="BT607" s="280"/>
      <c r="BU607" s="280"/>
      <c r="BV607" s="280"/>
    </row>
    <row r="608" spans="2:74" x14ac:dyDescent="0.2">
      <c r="B608" s="280"/>
      <c r="D608" s="280"/>
      <c r="E608" s="280"/>
      <c r="F608" s="280"/>
      <c r="G608" s="280"/>
      <c r="H608" s="280"/>
      <c r="I608" s="280"/>
      <c r="J608" s="280"/>
      <c r="K608" s="280"/>
      <c r="L608" s="280"/>
      <c r="M608" s="280"/>
      <c r="N608" s="280"/>
      <c r="O608" s="280"/>
      <c r="P608" s="280"/>
      <c r="Q608" s="280"/>
      <c r="R608" s="280"/>
      <c r="S608" s="280"/>
      <c r="T608" s="280"/>
      <c r="U608" s="280"/>
      <c r="V608" s="280"/>
      <c r="W608" s="280"/>
      <c r="X608" s="280"/>
      <c r="Y608" s="280"/>
      <c r="Z608" s="280"/>
      <c r="AA608" s="280"/>
      <c r="AB608" s="280"/>
      <c r="AC608" s="280"/>
      <c r="AD608" s="280"/>
      <c r="AE608" s="280"/>
      <c r="AF608" s="280"/>
      <c r="AG608" s="280"/>
      <c r="AH608" s="280"/>
      <c r="AI608" s="280"/>
      <c r="AJ608" s="280"/>
      <c r="AK608" s="280"/>
      <c r="AL608" s="280"/>
      <c r="AM608" s="280"/>
      <c r="AN608" s="280"/>
      <c r="AO608" s="280"/>
      <c r="AP608" s="280"/>
      <c r="AQ608" s="280"/>
      <c r="AR608" s="280"/>
      <c r="AS608" s="280"/>
      <c r="AT608" s="280"/>
      <c r="AU608" s="280"/>
      <c r="AV608" s="280"/>
      <c r="AW608" s="280"/>
      <c r="AX608" s="280"/>
      <c r="AY608" s="280"/>
      <c r="AZ608" s="280"/>
      <c r="BA608" s="280"/>
      <c r="BB608" s="280"/>
      <c r="BC608" s="280"/>
      <c r="BD608" s="280"/>
      <c r="BE608" s="280"/>
      <c r="BF608" s="280"/>
      <c r="BG608" s="280"/>
      <c r="BH608" s="280"/>
      <c r="BI608" s="280"/>
      <c r="BJ608" s="280"/>
      <c r="BK608" s="280"/>
      <c r="BL608" s="280"/>
      <c r="BM608" s="280"/>
      <c r="BN608" s="280"/>
      <c r="BO608" s="280"/>
      <c r="BP608" s="280"/>
      <c r="BQ608" s="280"/>
      <c r="BR608" s="280"/>
      <c r="BS608" s="280"/>
      <c r="BT608" s="280"/>
      <c r="BU608" s="280"/>
      <c r="BV608" s="280"/>
    </row>
    <row r="609" spans="2:74" x14ac:dyDescent="0.2">
      <c r="B609" s="280"/>
      <c r="D609" s="280"/>
      <c r="E609" s="280"/>
      <c r="F609" s="280"/>
      <c r="G609" s="280"/>
      <c r="H609" s="280"/>
      <c r="I609" s="280"/>
      <c r="J609" s="280"/>
      <c r="K609" s="280"/>
      <c r="L609" s="280"/>
      <c r="M609" s="280"/>
      <c r="N609" s="280"/>
      <c r="O609" s="280"/>
      <c r="P609" s="280"/>
      <c r="Q609" s="280"/>
      <c r="R609" s="280"/>
      <c r="S609" s="280"/>
      <c r="T609" s="280"/>
      <c r="U609" s="280"/>
      <c r="V609" s="280"/>
      <c r="W609" s="280"/>
      <c r="X609" s="280"/>
      <c r="Y609" s="280"/>
      <c r="Z609" s="280"/>
      <c r="AA609" s="280"/>
      <c r="AB609" s="280"/>
      <c r="AC609" s="280"/>
      <c r="AD609" s="280"/>
      <c r="AE609" s="280"/>
      <c r="AF609" s="280"/>
      <c r="AG609" s="280"/>
      <c r="AH609" s="280"/>
      <c r="AI609" s="280"/>
      <c r="AJ609" s="280"/>
      <c r="AK609" s="280"/>
      <c r="AL609" s="280"/>
      <c r="AM609" s="280"/>
      <c r="AN609" s="280"/>
      <c r="AO609" s="280"/>
      <c r="AP609" s="280"/>
      <c r="AQ609" s="280"/>
      <c r="AR609" s="280"/>
      <c r="AS609" s="280"/>
      <c r="AT609" s="280"/>
      <c r="AU609" s="280"/>
      <c r="AV609" s="280"/>
      <c r="AW609" s="280"/>
      <c r="AX609" s="280"/>
      <c r="AY609" s="280"/>
      <c r="AZ609" s="280"/>
      <c r="BA609" s="280"/>
      <c r="BB609" s="280"/>
      <c r="BC609" s="280"/>
      <c r="BD609" s="280"/>
      <c r="BE609" s="280"/>
      <c r="BF609" s="280"/>
      <c r="BG609" s="280"/>
      <c r="BH609" s="280"/>
      <c r="BI609" s="280"/>
      <c r="BJ609" s="280"/>
      <c r="BK609" s="280"/>
      <c r="BL609" s="280"/>
      <c r="BM609" s="280"/>
      <c r="BN609" s="280"/>
      <c r="BO609" s="280"/>
      <c r="BP609" s="280"/>
      <c r="BQ609" s="280"/>
      <c r="BR609" s="280"/>
      <c r="BS609" s="280"/>
      <c r="BT609" s="280"/>
      <c r="BU609" s="280"/>
      <c r="BV609" s="280"/>
    </row>
    <row r="610" spans="2:74" x14ac:dyDescent="0.2">
      <c r="B610" s="280"/>
      <c r="D610" s="280"/>
      <c r="E610" s="280"/>
      <c r="F610" s="280"/>
      <c r="G610" s="280"/>
      <c r="H610" s="280"/>
      <c r="I610" s="280"/>
      <c r="J610" s="280"/>
      <c r="K610" s="280"/>
      <c r="L610" s="280"/>
      <c r="M610" s="280"/>
      <c r="N610" s="280"/>
      <c r="O610" s="280"/>
      <c r="P610" s="280"/>
      <c r="Q610" s="280"/>
      <c r="R610" s="280"/>
      <c r="S610" s="280"/>
      <c r="T610" s="280"/>
      <c r="U610" s="280"/>
      <c r="V610" s="280"/>
      <c r="W610" s="280"/>
      <c r="X610" s="280"/>
      <c r="Y610" s="280"/>
      <c r="Z610" s="280"/>
      <c r="AA610" s="280"/>
      <c r="AB610" s="280"/>
      <c r="AC610" s="280"/>
      <c r="AD610" s="280"/>
      <c r="AE610" s="280"/>
      <c r="AF610" s="280"/>
      <c r="AG610" s="280"/>
      <c r="AH610" s="280"/>
      <c r="AI610" s="280"/>
      <c r="AJ610" s="280"/>
      <c r="AK610" s="280"/>
      <c r="AL610" s="280"/>
      <c r="AM610" s="280"/>
      <c r="AN610" s="280"/>
      <c r="AO610" s="280"/>
      <c r="AP610" s="280"/>
      <c r="AQ610" s="280"/>
      <c r="AR610" s="280"/>
      <c r="AS610" s="280"/>
      <c r="AT610" s="280"/>
      <c r="AU610" s="280"/>
      <c r="AV610" s="280"/>
      <c r="AW610" s="280"/>
      <c r="AX610" s="280"/>
      <c r="AY610" s="280"/>
      <c r="AZ610" s="280"/>
      <c r="BA610" s="280"/>
      <c r="BB610" s="280"/>
      <c r="BC610" s="280"/>
      <c r="BD610" s="280"/>
      <c r="BE610" s="280"/>
      <c r="BF610" s="280"/>
      <c r="BG610" s="280"/>
      <c r="BH610" s="280"/>
      <c r="BI610" s="280"/>
      <c r="BJ610" s="280"/>
      <c r="BK610" s="280"/>
      <c r="BL610" s="280"/>
      <c r="BM610" s="280"/>
      <c r="BN610" s="280"/>
      <c r="BO610" s="280"/>
      <c r="BP610" s="280"/>
      <c r="BQ610" s="280"/>
      <c r="BR610" s="280"/>
      <c r="BS610" s="280"/>
      <c r="BT610" s="280"/>
      <c r="BU610" s="280"/>
      <c r="BV610" s="280"/>
    </row>
    <row r="611" spans="2:74" x14ac:dyDescent="0.2">
      <c r="B611" s="280"/>
      <c r="D611" s="280"/>
      <c r="E611" s="280"/>
      <c r="F611" s="280"/>
      <c r="G611" s="280"/>
      <c r="H611" s="280"/>
      <c r="I611" s="280"/>
      <c r="J611" s="280"/>
      <c r="K611" s="280"/>
      <c r="L611" s="280"/>
      <c r="M611" s="280"/>
      <c r="N611" s="280"/>
      <c r="O611" s="280"/>
      <c r="P611" s="280"/>
      <c r="Q611" s="280"/>
      <c r="R611" s="280"/>
      <c r="S611" s="280"/>
      <c r="T611" s="280"/>
      <c r="U611" s="280"/>
      <c r="V611" s="280"/>
      <c r="W611" s="280"/>
      <c r="X611" s="280"/>
      <c r="Y611" s="280"/>
      <c r="Z611" s="280"/>
      <c r="AA611" s="280"/>
      <c r="AB611" s="280"/>
      <c r="AC611" s="280"/>
      <c r="AD611" s="280"/>
      <c r="AE611" s="280"/>
      <c r="AF611" s="280"/>
      <c r="AG611" s="280"/>
      <c r="AH611" s="280"/>
      <c r="AI611" s="280"/>
      <c r="AJ611" s="280"/>
      <c r="AK611" s="280"/>
      <c r="AL611" s="280"/>
      <c r="AM611" s="280"/>
      <c r="AN611" s="280"/>
      <c r="AO611" s="280"/>
      <c r="AP611" s="280"/>
      <c r="AQ611" s="280"/>
      <c r="AR611" s="280"/>
      <c r="AS611" s="280"/>
      <c r="AT611" s="280"/>
      <c r="AU611" s="280"/>
      <c r="AV611" s="280"/>
      <c r="AW611" s="280"/>
      <c r="AX611" s="280"/>
      <c r="AY611" s="280"/>
      <c r="AZ611" s="280"/>
      <c r="BA611" s="280"/>
      <c r="BB611" s="280"/>
      <c r="BC611" s="280"/>
      <c r="BD611" s="280"/>
      <c r="BE611" s="280"/>
      <c r="BF611" s="280"/>
      <c r="BG611" s="280"/>
      <c r="BH611" s="280"/>
      <c r="BI611" s="280"/>
      <c r="BJ611" s="280"/>
      <c r="BK611" s="280"/>
      <c r="BL611" s="280"/>
      <c r="BM611" s="280"/>
      <c r="BN611" s="280"/>
      <c r="BO611" s="280"/>
      <c r="BP611" s="280"/>
      <c r="BQ611" s="280"/>
      <c r="BR611" s="280"/>
      <c r="BS611" s="280"/>
      <c r="BT611" s="280"/>
      <c r="BU611" s="280"/>
      <c r="BV611" s="280"/>
    </row>
    <row r="612" spans="2:74" x14ac:dyDescent="0.2">
      <c r="B612" s="280"/>
      <c r="D612" s="280"/>
      <c r="E612" s="280"/>
      <c r="F612" s="280"/>
      <c r="G612" s="280"/>
      <c r="H612" s="280"/>
      <c r="I612" s="280"/>
      <c r="J612" s="280"/>
      <c r="K612" s="280"/>
      <c r="L612" s="280"/>
      <c r="M612" s="280"/>
      <c r="N612" s="280"/>
      <c r="O612" s="280"/>
      <c r="P612" s="280"/>
      <c r="Q612" s="280"/>
      <c r="R612" s="280"/>
      <c r="S612" s="280"/>
      <c r="T612" s="280"/>
      <c r="U612" s="280"/>
      <c r="V612" s="280"/>
      <c r="W612" s="280"/>
      <c r="X612" s="280"/>
      <c r="Y612" s="280"/>
      <c r="Z612" s="280"/>
      <c r="AA612" s="280"/>
      <c r="AB612" s="280"/>
      <c r="AC612" s="280"/>
      <c r="AD612" s="280"/>
      <c r="AE612" s="280"/>
      <c r="AF612" s="280"/>
      <c r="AG612" s="280"/>
      <c r="AH612" s="280"/>
      <c r="AI612" s="280"/>
      <c r="AJ612" s="280"/>
      <c r="AK612" s="280"/>
      <c r="AL612" s="280"/>
      <c r="AM612" s="280"/>
      <c r="AN612" s="280"/>
      <c r="AO612" s="280"/>
      <c r="AP612" s="280"/>
      <c r="AQ612" s="280"/>
      <c r="AR612" s="280"/>
      <c r="AS612" s="280"/>
      <c r="AT612" s="280"/>
      <c r="AU612" s="280"/>
      <c r="AV612" s="280"/>
      <c r="AW612" s="280"/>
      <c r="AX612" s="280"/>
      <c r="AY612" s="280"/>
      <c r="AZ612" s="280"/>
      <c r="BA612" s="280"/>
      <c r="BB612" s="280"/>
      <c r="BC612" s="280"/>
      <c r="BD612" s="280"/>
      <c r="BE612" s="280"/>
      <c r="BF612" s="280"/>
      <c r="BG612" s="280"/>
      <c r="BH612" s="280"/>
      <c r="BI612" s="280"/>
      <c r="BJ612" s="280"/>
      <c r="BK612" s="280"/>
      <c r="BL612" s="280"/>
      <c r="BM612" s="280"/>
      <c r="BN612" s="280"/>
      <c r="BO612" s="280"/>
      <c r="BP612" s="280"/>
      <c r="BQ612" s="280"/>
      <c r="BR612" s="280"/>
      <c r="BS612" s="280"/>
      <c r="BT612" s="280"/>
      <c r="BU612" s="280"/>
      <c r="BV612" s="280"/>
    </row>
    <row r="613" spans="2:74" x14ac:dyDescent="0.2">
      <c r="B613" s="280"/>
      <c r="D613" s="280"/>
      <c r="E613" s="280"/>
      <c r="F613" s="280"/>
      <c r="G613" s="280"/>
      <c r="H613" s="280"/>
      <c r="I613" s="280"/>
      <c r="J613" s="280"/>
      <c r="K613" s="280"/>
      <c r="L613" s="280"/>
      <c r="M613" s="280"/>
      <c r="N613" s="280"/>
      <c r="O613" s="280"/>
      <c r="P613" s="280"/>
      <c r="Q613" s="280"/>
      <c r="R613" s="280"/>
      <c r="S613" s="280"/>
      <c r="T613" s="280"/>
      <c r="U613" s="280"/>
      <c r="V613" s="280"/>
      <c r="W613" s="280"/>
      <c r="X613" s="280"/>
      <c r="Y613" s="280"/>
      <c r="Z613" s="280"/>
      <c r="AA613" s="280"/>
      <c r="AB613" s="280"/>
      <c r="AC613" s="280"/>
      <c r="AD613" s="280"/>
      <c r="AE613" s="280"/>
      <c r="AF613" s="280"/>
      <c r="AG613" s="280"/>
      <c r="AH613" s="280"/>
      <c r="AI613" s="280"/>
      <c r="AJ613" s="280"/>
      <c r="AK613" s="280"/>
      <c r="AL613" s="280"/>
      <c r="AM613" s="280"/>
      <c r="AN613" s="280"/>
      <c r="AO613" s="280"/>
      <c r="AP613" s="280"/>
      <c r="AQ613" s="280"/>
      <c r="AR613" s="280"/>
      <c r="AS613" s="280"/>
      <c r="AT613" s="280"/>
      <c r="AU613" s="280"/>
      <c r="AV613" s="280"/>
      <c r="AW613" s="280"/>
      <c r="AX613" s="280"/>
      <c r="AY613" s="280"/>
      <c r="AZ613" s="280"/>
      <c r="BA613" s="280"/>
      <c r="BB613" s="280"/>
      <c r="BC613" s="280"/>
      <c r="BD613" s="280"/>
      <c r="BE613" s="280"/>
      <c r="BF613" s="280"/>
      <c r="BG613" s="280"/>
      <c r="BH613" s="280"/>
      <c r="BI613" s="280"/>
      <c r="BJ613" s="280"/>
      <c r="BK613" s="280"/>
      <c r="BL613" s="280"/>
      <c r="BM613" s="280"/>
      <c r="BN613" s="280"/>
      <c r="BO613" s="280"/>
      <c r="BP613" s="280"/>
      <c r="BQ613" s="280"/>
      <c r="BR613" s="280"/>
      <c r="BS613" s="280"/>
      <c r="BT613" s="280"/>
      <c r="BU613" s="280"/>
      <c r="BV613" s="280"/>
    </row>
    <row r="614" spans="2:74" x14ac:dyDescent="0.2">
      <c r="B614" s="280"/>
      <c r="D614" s="280"/>
      <c r="E614" s="280"/>
      <c r="F614" s="280"/>
      <c r="G614" s="280"/>
      <c r="H614" s="280"/>
      <c r="I614" s="280"/>
      <c r="J614" s="280"/>
      <c r="K614" s="280"/>
      <c r="L614" s="280"/>
      <c r="M614" s="280"/>
      <c r="N614" s="280"/>
      <c r="O614" s="280"/>
      <c r="P614" s="280"/>
      <c r="Q614" s="280"/>
      <c r="R614" s="280"/>
      <c r="S614" s="280"/>
      <c r="T614" s="280"/>
      <c r="U614" s="280"/>
      <c r="V614" s="280"/>
      <c r="W614" s="280"/>
      <c r="X614" s="280"/>
      <c r="Y614" s="280"/>
      <c r="Z614" s="280"/>
      <c r="AA614" s="280"/>
      <c r="AB614" s="280"/>
      <c r="AC614" s="280"/>
      <c r="AD614" s="280"/>
      <c r="AE614" s="280"/>
      <c r="AF614" s="280"/>
      <c r="AG614" s="280"/>
      <c r="AH614" s="280"/>
      <c r="AI614" s="280"/>
      <c r="AJ614" s="280"/>
      <c r="AK614" s="280"/>
      <c r="AL614" s="280"/>
      <c r="AM614" s="280"/>
      <c r="AN614" s="280"/>
      <c r="AO614" s="280"/>
      <c r="AP614" s="280"/>
      <c r="AQ614" s="280"/>
      <c r="AR614" s="280"/>
      <c r="AS614" s="280"/>
      <c r="AT614" s="280"/>
      <c r="AU614" s="280"/>
      <c r="AV614" s="280"/>
      <c r="AW614" s="280"/>
      <c r="AX614" s="280"/>
      <c r="AY614" s="280"/>
      <c r="AZ614" s="280"/>
      <c r="BA614" s="280"/>
      <c r="BB614" s="280"/>
      <c r="BC614" s="280"/>
      <c r="BD614" s="280"/>
      <c r="BE614" s="280"/>
      <c r="BF614" s="280"/>
      <c r="BG614" s="280"/>
      <c r="BH614" s="280"/>
      <c r="BI614" s="280"/>
      <c r="BJ614" s="280"/>
      <c r="BK614" s="280"/>
      <c r="BL614" s="280"/>
      <c r="BM614" s="280"/>
      <c r="BN614" s="280"/>
      <c r="BO614" s="280"/>
      <c r="BP614" s="280"/>
      <c r="BQ614" s="280"/>
      <c r="BR614" s="280"/>
      <c r="BS614" s="280"/>
      <c r="BT614" s="280"/>
      <c r="BU614" s="280"/>
      <c r="BV614" s="280"/>
    </row>
    <row r="615" spans="2:74" x14ac:dyDescent="0.2">
      <c r="B615" s="280"/>
      <c r="D615" s="280"/>
      <c r="E615" s="280"/>
      <c r="F615" s="280"/>
      <c r="G615" s="280"/>
      <c r="H615" s="280"/>
      <c r="I615" s="280"/>
      <c r="J615" s="280"/>
      <c r="K615" s="280"/>
      <c r="L615" s="280"/>
      <c r="M615" s="280"/>
      <c r="N615" s="280"/>
      <c r="O615" s="280"/>
      <c r="P615" s="280"/>
      <c r="Q615" s="280"/>
      <c r="R615" s="280"/>
      <c r="S615" s="280"/>
      <c r="T615" s="280"/>
      <c r="U615" s="280"/>
      <c r="V615" s="280"/>
      <c r="W615" s="280"/>
      <c r="X615" s="280"/>
      <c r="Y615" s="280"/>
      <c r="Z615" s="280"/>
      <c r="AA615" s="280"/>
      <c r="AB615" s="280"/>
      <c r="AC615" s="280"/>
      <c r="AD615" s="280"/>
      <c r="AE615" s="280"/>
      <c r="AF615" s="280"/>
      <c r="AG615" s="280"/>
      <c r="AH615" s="280"/>
      <c r="AI615" s="280"/>
      <c r="AJ615" s="280"/>
      <c r="AK615" s="280"/>
      <c r="AL615" s="280"/>
      <c r="AM615" s="280"/>
      <c r="AN615" s="280"/>
      <c r="AO615" s="280"/>
      <c r="AP615" s="280"/>
      <c r="AQ615" s="280"/>
      <c r="AR615" s="280"/>
      <c r="AS615" s="280"/>
      <c r="AT615" s="280"/>
      <c r="AU615" s="280"/>
      <c r="AV615" s="280"/>
      <c r="AW615" s="280"/>
      <c r="AX615" s="280"/>
      <c r="AY615" s="280"/>
      <c r="AZ615" s="280"/>
      <c r="BA615" s="280"/>
      <c r="BB615" s="280"/>
      <c r="BC615" s="280"/>
      <c r="BD615" s="280"/>
      <c r="BE615" s="280"/>
      <c r="BF615" s="280"/>
      <c r="BG615" s="280"/>
      <c r="BH615" s="280"/>
      <c r="BI615" s="280"/>
      <c r="BJ615" s="280"/>
      <c r="BK615" s="280"/>
      <c r="BL615" s="280"/>
      <c r="BM615" s="280"/>
      <c r="BN615" s="280"/>
      <c r="BO615" s="280"/>
      <c r="BP615" s="280"/>
      <c r="BQ615" s="280"/>
      <c r="BR615" s="280"/>
      <c r="BS615" s="280"/>
      <c r="BT615" s="280"/>
      <c r="BU615" s="280"/>
      <c r="BV615" s="280"/>
    </row>
    <row r="616" spans="2:74" x14ac:dyDescent="0.2">
      <c r="B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0"/>
      <c r="Z616" s="280"/>
      <c r="AA616" s="280"/>
      <c r="AB616" s="280"/>
      <c r="AC616" s="280"/>
      <c r="AD616" s="280"/>
      <c r="AE616" s="280"/>
      <c r="AF616" s="280"/>
      <c r="AG616" s="280"/>
      <c r="AH616" s="280"/>
      <c r="AI616" s="280"/>
      <c r="AJ616" s="280"/>
      <c r="AK616" s="280"/>
      <c r="AL616" s="280"/>
      <c r="AM616" s="280"/>
      <c r="AN616" s="280"/>
      <c r="AO616" s="280"/>
      <c r="AP616" s="280"/>
      <c r="AQ616" s="280"/>
      <c r="AR616" s="280"/>
      <c r="AS616" s="280"/>
      <c r="AT616" s="280"/>
      <c r="AU616" s="280"/>
      <c r="AV616" s="280"/>
      <c r="AW616" s="280"/>
      <c r="AX616" s="280"/>
      <c r="AY616" s="280"/>
      <c r="AZ616" s="280"/>
      <c r="BA616" s="280"/>
      <c r="BB616" s="280"/>
      <c r="BC616" s="280"/>
      <c r="BD616" s="280"/>
      <c r="BE616" s="280"/>
      <c r="BF616" s="280"/>
      <c r="BG616" s="280"/>
      <c r="BH616" s="280"/>
      <c r="BI616" s="280"/>
      <c r="BJ616" s="280"/>
      <c r="BK616" s="280"/>
      <c r="BL616" s="280"/>
      <c r="BM616" s="280"/>
      <c r="BN616" s="280"/>
      <c r="BO616" s="280"/>
      <c r="BP616" s="280"/>
      <c r="BQ616" s="280"/>
      <c r="BR616" s="280"/>
      <c r="BS616" s="280"/>
      <c r="BT616" s="280"/>
      <c r="BU616" s="280"/>
      <c r="BV616" s="280"/>
    </row>
    <row r="617" spans="2:74" x14ac:dyDescent="0.2">
      <c r="B617" s="280"/>
      <c r="D617" s="280"/>
      <c r="E617" s="280"/>
      <c r="F617" s="280"/>
      <c r="G617" s="280"/>
      <c r="H617" s="280"/>
      <c r="I617" s="280"/>
      <c r="J617" s="280"/>
      <c r="K617" s="280"/>
      <c r="L617" s="280"/>
      <c r="M617" s="280"/>
      <c r="N617" s="280"/>
      <c r="O617" s="280"/>
      <c r="P617" s="280"/>
      <c r="Q617" s="280"/>
      <c r="R617" s="280"/>
      <c r="S617" s="280"/>
      <c r="T617" s="280"/>
      <c r="U617" s="280"/>
      <c r="V617" s="280"/>
      <c r="W617" s="280"/>
      <c r="X617" s="280"/>
      <c r="Y617" s="280"/>
      <c r="Z617" s="280"/>
      <c r="AA617" s="280"/>
      <c r="AB617" s="280"/>
      <c r="AC617" s="280"/>
      <c r="AD617" s="280"/>
      <c r="AE617" s="280"/>
      <c r="AF617" s="280"/>
      <c r="AG617" s="280"/>
      <c r="AH617" s="280"/>
      <c r="AI617" s="280"/>
      <c r="AJ617" s="280"/>
      <c r="AK617" s="280"/>
      <c r="AL617" s="280"/>
      <c r="AM617" s="280"/>
      <c r="AN617" s="280"/>
      <c r="AO617" s="280"/>
      <c r="AP617" s="280"/>
      <c r="AQ617" s="280"/>
      <c r="AR617" s="280"/>
      <c r="AS617" s="280"/>
      <c r="AT617" s="280"/>
      <c r="AU617" s="280"/>
      <c r="AV617" s="280"/>
      <c r="AW617" s="280"/>
      <c r="AX617" s="280"/>
      <c r="AY617" s="280"/>
      <c r="AZ617" s="280"/>
      <c r="BA617" s="280"/>
      <c r="BB617" s="280"/>
      <c r="BC617" s="280"/>
      <c r="BD617" s="280"/>
      <c r="BE617" s="280"/>
      <c r="BF617" s="280"/>
      <c r="BG617" s="280"/>
      <c r="BH617" s="280"/>
      <c r="BI617" s="280"/>
      <c r="BJ617" s="280"/>
      <c r="BK617" s="280"/>
      <c r="BL617" s="280"/>
      <c r="BM617" s="280"/>
      <c r="BN617" s="280"/>
      <c r="BO617" s="280"/>
      <c r="BP617" s="280"/>
      <c r="BQ617" s="280"/>
      <c r="BR617" s="280"/>
      <c r="BS617" s="280"/>
      <c r="BT617" s="280"/>
      <c r="BU617" s="280"/>
      <c r="BV617" s="280"/>
    </row>
    <row r="618" spans="2:74" x14ac:dyDescent="0.2">
      <c r="B618" s="280"/>
      <c r="D618" s="280"/>
      <c r="E618" s="280"/>
      <c r="F618" s="280"/>
      <c r="G618" s="280"/>
      <c r="H618" s="280"/>
      <c r="I618" s="280"/>
      <c r="J618" s="280"/>
      <c r="K618" s="280"/>
      <c r="L618" s="280"/>
      <c r="M618" s="280"/>
      <c r="N618" s="280"/>
      <c r="O618" s="280"/>
      <c r="P618" s="280"/>
      <c r="Q618" s="280"/>
      <c r="R618" s="280"/>
      <c r="S618" s="280"/>
      <c r="T618" s="280"/>
      <c r="U618" s="280"/>
      <c r="V618" s="280"/>
      <c r="W618" s="280"/>
      <c r="X618" s="280"/>
      <c r="Y618" s="280"/>
      <c r="Z618" s="280"/>
      <c r="AA618" s="280"/>
      <c r="AB618" s="280"/>
      <c r="AC618" s="280"/>
      <c r="AD618" s="280"/>
      <c r="AE618" s="280"/>
      <c r="AF618" s="280"/>
      <c r="AG618" s="280"/>
      <c r="AH618" s="280"/>
      <c r="AI618" s="280"/>
      <c r="AJ618" s="280"/>
      <c r="AK618" s="280"/>
      <c r="AL618" s="280"/>
      <c r="AM618" s="280"/>
      <c r="AN618" s="280"/>
      <c r="AO618" s="280"/>
      <c r="AP618" s="280"/>
      <c r="AQ618" s="280"/>
      <c r="AR618" s="280"/>
      <c r="AS618" s="280"/>
      <c r="AT618" s="280"/>
      <c r="AU618" s="280"/>
      <c r="AV618" s="280"/>
      <c r="AW618" s="280"/>
      <c r="AX618" s="280"/>
      <c r="AY618" s="280"/>
      <c r="AZ618" s="280"/>
      <c r="BA618" s="280"/>
      <c r="BB618" s="280"/>
      <c r="BC618" s="280"/>
      <c r="BD618" s="280"/>
      <c r="BE618" s="280"/>
      <c r="BF618" s="280"/>
      <c r="BG618" s="280"/>
      <c r="BH618" s="280"/>
      <c r="BI618" s="280"/>
      <c r="BJ618" s="280"/>
      <c r="BK618" s="280"/>
      <c r="BL618" s="280"/>
      <c r="BM618" s="280"/>
      <c r="BN618" s="280"/>
      <c r="BO618" s="280"/>
      <c r="BP618" s="280"/>
      <c r="BQ618" s="280"/>
      <c r="BR618" s="280"/>
      <c r="BS618" s="280"/>
      <c r="BT618" s="280"/>
      <c r="BU618" s="280"/>
      <c r="BV618" s="280"/>
    </row>
    <row r="619" spans="2:74" x14ac:dyDescent="0.2">
      <c r="B619" s="280"/>
      <c r="D619" s="280"/>
      <c r="E619" s="280"/>
      <c r="F619" s="280"/>
      <c r="G619" s="280"/>
      <c r="H619" s="280"/>
      <c r="I619" s="280"/>
      <c r="J619" s="280"/>
      <c r="K619" s="280"/>
      <c r="L619" s="280"/>
      <c r="M619" s="280"/>
      <c r="N619" s="280"/>
      <c r="O619" s="280"/>
      <c r="P619" s="280"/>
      <c r="Q619" s="280"/>
      <c r="R619" s="280"/>
      <c r="S619" s="280"/>
      <c r="T619" s="280"/>
      <c r="U619" s="280"/>
      <c r="V619" s="280"/>
      <c r="W619" s="280"/>
      <c r="X619" s="280"/>
      <c r="Y619" s="280"/>
      <c r="Z619" s="280"/>
      <c r="AA619" s="280"/>
      <c r="AB619" s="280"/>
      <c r="AC619" s="280"/>
      <c r="AD619" s="280"/>
      <c r="AE619" s="280"/>
      <c r="AF619" s="280"/>
      <c r="AG619" s="280"/>
      <c r="AH619" s="280"/>
      <c r="AI619" s="280"/>
      <c r="AJ619" s="280"/>
      <c r="AK619" s="280"/>
      <c r="AL619" s="280"/>
      <c r="AM619" s="280"/>
      <c r="AN619" s="280"/>
      <c r="AO619" s="280"/>
      <c r="AP619" s="280"/>
      <c r="AQ619" s="280"/>
      <c r="AR619" s="280"/>
      <c r="AS619" s="280"/>
      <c r="AT619" s="280"/>
      <c r="AU619" s="280"/>
      <c r="AV619" s="280"/>
      <c r="AW619" s="280"/>
      <c r="AX619" s="280"/>
      <c r="AY619" s="280"/>
      <c r="AZ619" s="280"/>
      <c r="BA619" s="280"/>
      <c r="BB619" s="280"/>
      <c r="BC619" s="280"/>
      <c r="BD619" s="280"/>
      <c r="BE619" s="280"/>
      <c r="BF619" s="280"/>
      <c r="BG619" s="280"/>
      <c r="BH619" s="280"/>
      <c r="BI619" s="280"/>
      <c r="BJ619" s="280"/>
      <c r="BK619" s="280"/>
      <c r="BL619" s="280"/>
      <c r="BM619" s="280"/>
      <c r="BN619" s="280"/>
      <c r="BO619" s="280"/>
      <c r="BP619" s="280"/>
      <c r="BQ619" s="280"/>
      <c r="BR619" s="280"/>
      <c r="BS619" s="280"/>
      <c r="BT619" s="280"/>
      <c r="BU619" s="280"/>
      <c r="BV619" s="280"/>
    </row>
    <row r="620" spans="2:74" x14ac:dyDescent="0.2">
      <c r="B620" s="280"/>
      <c r="D620" s="280"/>
      <c r="E620" s="280"/>
      <c r="F620" s="280"/>
      <c r="G620" s="280"/>
      <c r="H620" s="280"/>
      <c r="I620" s="280"/>
      <c r="J620" s="280"/>
      <c r="K620" s="280"/>
      <c r="L620" s="280"/>
      <c r="M620" s="280"/>
      <c r="N620" s="280"/>
      <c r="O620" s="280"/>
      <c r="P620" s="280"/>
      <c r="Q620" s="280"/>
      <c r="R620" s="280"/>
      <c r="S620" s="280"/>
      <c r="T620" s="280"/>
      <c r="U620" s="280"/>
      <c r="V620" s="280"/>
      <c r="W620" s="280"/>
      <c r="X620" s="280"/>
      <c r="Y620" s="280"/>
      <c r="Z620" s="280"/>
      <c r="AA620" s="280"/>
      <c r="AB620" s="280"/>
      <c r="AC620" s="280"/>
      <c r="AD620" s="280"/>
      <c r="AE620" s="280"/>
      <c r="AF620" s="280"/>
      <c r="AG620" s="280"/>
      <c r="AH620" s="280"/>
      <c r="AI620" s="280"/>
      <c r="AJ620" s="280"/>
      <c r="AK620" s="280"/>
      <c r="AL620" s="280"/>
      <c r="AM620" s="280"/>
      <c r="AN620" s="280"/>
      <c r="AO620" s="280"/>
      <c r="AP620" s="280"/>
      <c r="AQ620" s="280"/>
      <c r="AR620" s="280"/>
      <c r="AS620" s="280"/>
      <c r="AT620" s="280"/>
      <c r="AU620" s="280"/>
      <c r="AV620" s="280"/>
      <c r="AW620" s="280"/>
      <c r="AX620" s="280"/>
      <c r="AY620" s="280"/>
      <c r="AZ620" s="280"/>
      <c r="BA620" s="280"/>
      <c r="BB620" s="280"/>
      <c r="BC620" s="280"/>
      <c r="BD620" s="280"/>
      <c r="BE620" s="280"/>
      <c r="BF620" s="280"/>
      <c r="BG620" s="280"/>
      <c r="BH620" s="280"/>
      <c r="BI620" s="280"/>
      <c r="BJ620" s="280"/>
      <c r="BK620" s="280"/>
      <c r="BL620" s="280"/>
      <c r="BM620" s="280"/>
      <c r="BN620" s="280"/>
      <c r="BO620" s="280"/>
      <c r="BP620" s="280"/>
      <c r="BQ620" s="280"/>
      <c r="BR620" s="280"/>
      <c r="BS620" s="280"/>
      <c r="BT620" s="280"/>
      <c r="BU620" s="280"/>
      <c r="BV620" s="280"/>
    </row>
    <row r="621" spans="2:74" x14ac:dyDescent="0.2">
      <c r="B621" s="280"/>
      <c r="D621" s="280"/>
      <c r="E621" s="280"/>
      <c r="F621" s="280"/>
      <c r="G621" s="280"/>
      <c r="H621" s="280"/>
      <c r="I621" s="280"/>
      <c r="J621" s="280"/>
      <c r="K621" s="280"/>
      <c r="L621" s="280"/>
      <c r="M621" s="280"/>
      <c r="N621" s="280"/>
      <c r="O621" s="280"/>
      <c r="P621" s="280"/>
      <c r="Q621" s="280"/>
      <c r="R621" s="280"/>
      <c r="S621" s="280"/>
      <c r="T621" s="280"/>
      <c r="U621" s="280"/>
      <c r="V621" s="280"/>
      <c r="W621" s="280"/>
      <c r="X621" s="280"/>
      <c r="Y621" s="280"/>
      <c r="Z621" s="280"/>
      <c r="AA621" s="280"/>
      <c r="AB621" s="280"/>
      <c r="AC621" s="280"/>
      <c r="AD621" s="280"/>
      <c r="AE621" s="280"/>
      <c r="AF621" s="280"/>
      <c r="AG621" s="280"/>
      <c r="AH621" s="280"/>
      <c r="AI621" s="280"/>
      <c r="AJ621" s="280"/>
      <c r="AK621" s="280"/>
      <c r="AL621" s="280"/>
      <c r="AM621" s="280"/>
      <c r="AN621" s="280"/>
      <c r="AO621" s="280"/>
      <c r="AP621" s="280"/>
      <c r="AQ621" s="280"/>
      <c r="AR621" s="280"/>
      <c r="AS621" s="280"/>
      <c r="AT621" s="280"/>
      <c r="AU621" s="280"/>
      <c r="AV621" s="280"/>
      <c r="AW621" s="280"/>
      <c r="AX621" s="280"/>
      <c r="AY621" s="280"/>
      <c r="AZ621" s="280"/>
      <c r="BA621" s="280"/>
      <c r="BB621" s="280"/>
      <c r="BC621" s="280"/>
      <c r="BD621" s="280"/>
      <c r="BE621" s="280"/>
      <c r="BF621" s="280"/>
      <c r="BG621" s="280"/>
      <c r="BH621" s="280"/>
      <c r="BI621" s="280"/>
      <c r="BJ621" s="280"/>
      <c r="BK621" s="280"/>
      <c r="BL621" s="280"/>
      <c r="BM621" s="280"/>
      <c r="BN621" s="280"/>
      <c r="BO621" s="280"/>
      <c r="BP621" s="280"/>
      <c r="BQ621" s="280"/>
      <c r="BR621" s="280"/>
      <c r="BS621" s="280"/>
      <c r="BT621" s="280"/>
      <c r="BU621" s="280"/>
      <c r="BV621" s="280"/>
    </row>
    <row r="622" spans="2:74" x14ac:dyDescent="0.2">
      <c r="B622" s="280"/>
      <c r="D622" s="280"/>
      <c r="E622" s="280"/>
      <c r="F622" s="280"/>
      <c r="G622" s="280"/>
      <c r="H622" s="280"/>
      <c r="I622" s="280"/>
      <c r="J622" s="280"/>
      <c r="K622" s="280"/>
      <c r="L622" s="280"/>
      <c r="M622" s="280"/>
      <c r="N622" s="280"/>
      <c r="O622" s="280"/>
      <c r="P622" s="280"/>
      <c r="Q622" s="280"/>
      <c r="R622" s="280"/>
      <c r="S622" s="280"/>
      <c r="T622" s="280"/>
      <c r="U622" s="280"/>
      <c r="V622" s="280"/>
      <c r="W622" s="280"/>
      <c r="X622" s="280"/>
      <c r="Y622" s="280"/>
      <c r="Z622" s="280"/>
      <c r="AA622" s="280"/>
      <c r="AB622" s="280"/>
      <c r="AC622" s="280"/>
      <c r="AD622" s="280"/>
      <c r="AE622" s="280"/>
      <c r="AF622" s="280"/>
      <c r="AG622" s="280"/>
      <c r="AH622" s="280"/>
      <c r="AI622" s="280"/>
      <c r="AJ622" s="280"/>
      <c r="AK622" s="280"/>
      <c r="AL622" s="280"/>
      <c r="AM622" s="280"/>
      <c r="AN622" s="280"/>
      <c r="AO622" s="280"/>
      <c r="AP622" s="280"/>
      <c r="AQ622" s="280"/>
      <c r="AR622" s="280"/>
      <c r="AS622" s="280"/>
      <c r="AT622" s="280"/>
      <c r="AU622" s="280"/>
      <c r="AV622" s="280"/>
      <c r="AW622" s="280"/>
      <c r="AX622" s="280"/>
      <c r="AY622" s="280"/>
      <c r="AZ622" s="280"/>
      <c r="BA622" s="280"/>
      <c r="BB622" s="280"/>
      <c r="BC622" s="280"/>
      <c r="BD622" s="280"/>
      <c r="BE622" s="280"/>
      <c r="BF622" s="280"/>
      <c r="BG622" s="280"/>
      <c r="BH622" s="280"/>
      <c r="BI622" s="280"/>
      <c r="BJ622" s="280"/>
      <c r="BK622" s="280"/>
      <c r="BL622" s="280"/>
      <c r="BM622" s="280"/>
      <c r="BN622" s="280"/>
      <c r="BO622" s="280"/>
      <c r="BP622" s="280"/>
      <c r="BQ622" s="280"/>
      <c r="BR622" s="280"/>
      <c r="BS622" s="280"/>
      <c r="BT622" s="280"/>
      <c r="BU622" s="280"/>
      <c r="BV622" s="280"/>
    </row>
    <row r="623" spans="2:74" x14ac:dyDescent="0.2">
      <c r="B623" s="280"/>
      <c r="D623" s="280"/>
      <c r="E623" s="280"/>
      <c r="F623" s="280"/>
      <c r="G623" s="280"/>
      <c r="H623" s="280"/>
      <c r="I623" s="280"/>
      <c r="J623" s="280"/>
      <c r="K623" s="280"/>
      <c r="L623" s="280"/>
      <c r="M623" s="280"/>
      <c r="N623" s="280"/>
      <c r="O623" s="280"/>
      <c r="P623" s="280"/>
      <c r="Q623" s="280"/>
      <c r="R623" s="280"/>
      <c r="S623" s="280"/>
      <c r="T623" s="280"/>
      <c r="U623" s="280"/>
      <c r="V623" s="280"/>
      <c r="W623" s="280"/>
      <c r="X623" s="280"/>
      <c r="Y623" s="280"/>
      <c r="Z623" s="280"/>
      <c r="AA623" s="280"/>
      <c r="AB623" s="280"/>
      <c r="AC623" s="280"/>
      <c r="AD623" s="280"/>
      <c r="AE623" s="280"/>
      <c r="AF623" s="280"/>
      <c r="AG623" s="280"/>
      <c r="AH623" s="280"/>
      <c r="AI623" s="280"/>
      <c r="AJ623" s="280"/>
      <c r="AK623" s="280"/>
      <c r="AL623" s="280"/>
      <c r="AM623" s="280"/>
      <c r="AN623" s="280"/>
      <c r="AO623" s="280"/>
      <c r="AP623" s="280"/>
      <c r="AQ623" s="280"/>
      <c r="AR623" s="280"/>
      <c r="AS623" s="280"/>
      <c r="AT623" s="280"/>
      <c r="AU623" s="280"/>
      <c r="AV623" s="280"/>
      <c r="AW623" s="280"/>
      <c r="AX623" s="280"/>
      <c r="AY623" s="280"/>
      <c r="AZ623" s="280"/>
      <c r="BA623" s="280"/>
      <c r="BB623" s="280"/>
      <c r="BC623" s="280"/>
      <c r="BD623" s="280"/>
      <c r="BE623" s="280"/>
      <c r="BF623" s="280"/>
      <c r="BG623" s="280"/>
      <c r="BH623" s="280"/>
      <c r="BI623" s="280"/>
      <c r="BJ623" s="280"/>
      <c r="BK623" s="280"/>
      <c r="BL623" s="280"/>
      <c r="BM623" s="280"/>
      <c r="BN623" s="280"/>
      <c r="BO623" s="280"/>
      <c r="BP623" s="280"/>
      <c r="BQ623" s="280"/>
      <c r="BR623" s="280"/>
      <c r="BS623" s="280"/>
      <c r="BT623" s="280"/>
      <c r="BU623" s="280"/>
      <c r="BV623" s="280"/>
    </row>
    <row r="624" spans="2:74" x14ac:dyDescent="0.2">
      <c r="B624" s="280"/>
      <c r="D624" s="280"/>
      <c r="E624" s="280"/>
      <c r="F624" s="280"/>
      <c r="G624" s="280"/>
      <c r="H624" s="280"/>
      <c r="I624" s="280"/>
      <c r="J624" s="280"/>
      <c r="K624" s="280"/>
      <c r="L624" s="280"/>
      <c r="M624" s="280"/>
      <c r="N624" s="280"/>
      <c r="O624" s="280"/>
      <c r="P624" s="280"/>
      <c r="Q624" s="280"/>
      <c r="R624" s="280"/>
      <c r="S624" s="280"/>
      <c r="T624" s="280"/>
      <c r="U624" s="280"/>
      <c r="V624" s="280"/>
      <c r="W624" s="280"/>
      <c r="X624" s="280"/>
      <c r="Y624" s="280"/>
      <c r="Z624" s="280"/>
      <c r="AA624" s="280"/>
      <c r="AB624" s="280"/>
      <c r="AC624" s="280"/>
      <c r="AD624" s="280"/>
      <c r="AE624" s="280"/>
      <c r="AF624" s="280"/>
      <c r="AG624" s="280"/>
      <c r="AH624" s="280"/>
      <c r="AI624" s="280"/>
      <c r="AJ624" s="280"/>
      <c r="AK624" s="280"/>
      <c r="AL624" s="280"/>
      <c r="AM624" s="280"/>
      <c r="AN624" s="280"/>
      <c r="AO624" s="280"/>
      <c r="AP624" s="280"/>
      <c r="AQ624" s="280"/>
      <c r="AR624" s="280"/>
      <c r="AS624" s="280"/>
      <c r="AT624" s="280"/>
      <c r="AU624" s="280"/>
      <c r="AV624" s="280"/>
      <c r="AW624" s="280"/>
      <c r="AX624" s="280"/>
      <c r="AY624" s="280"/>
      <c r="AZ624" s="280"/>
      <c r="BA624" s="280"/>
      <c r="BB624" s="280"/>
      <c r="BC624" s="280"/>
      <c r="BD624" s="280"/>
      <c r="BE624" s="280"/>
      <c r="BF624" s="280"/>
      <c r="BG624" s="280"/>
      <c r="BH624" s="280"/>
      <c r="BI624" s="280"/>
      <c r="BJ624" s="280"/>
      <c r="BK624" s="280"/>
      <c r="BL624" s="280"/>
      <c r="BM624" s="280"/>
      <c r="BN624" s="280"/>
      <c r="BO624" s="280"/>
      <c r="BP624" s="280"/>
      <c r="BQ624" s="280"/>
      <c r="BR624" s="280"/>
      <c r="BS624" s="280"/>
      <c r="BT624" s="280"/>
      <c r="BU624" s="280"/>
      <c r="BV624" s="280"/>
    </row>
    <row r="625" spans="2:74" x14ac:dyDescent="0.2">
      <c r="B625" s="280"/>
      <c r="D625" s="280"/>
      <c r="E625" s="280"/>
      <c r="F625" s="280"/>
      <c r="G625" s="280"/>
      <c r="H625" s="280"/>
      <c r="I625" s="280"/>
      <c r="J625" s="280"/>
      <c r="K625" s="280"/>
      <c r="L625" s="280"/>
      <c r="M625" s="280"/>
      <c r="N625" s="280"/>
      <c r="O625" s="280"/>
      <c r="P625" s="280"/>
      <c r="Q625" s="280"/>
      <c r="R625" s="280"/>
      <c r="S625" s="280"/>
      <c r="T625" s="280"/>
      <c r="U625" s="280"/>
      <c r="V625" s="280"/>
      <c r="W625" s="280"/>
      <c r="X625" s="280"/>
      <c r="Y625" s="280"/>
      <c r="Z625" s="280"/>
      <c r="AA625" s="280"/>
      <c r="AB625" s="280"/>
      <c r="AC625" s="280"/>
      <c r="AD625" s="280"/>
      <c r="AE625" s="280"/>
      <c r="AF625" s="280"/>
      <c r="AG625" s="280"/>
      <c r="AH625" s="280"/>
      <c r="AI625" s="280"/>
      <c r="AJ625" s="280"/>
      <c r="AK625" s="280"/>
      <c r="AL625" s="280"/>
      <c r="AM625" s="280"/>
      <c r="AN625" s="280"/>
      <c r="AO625" s="280"/>
      <c r="AP625" s="280"/>
      <c r="AQ625" s="280"/>
      <c r="AR625" s="280"/>
      <c r="AS625" s="280"/>
      <c r="AT625" s="280"/>
      <c r="AU625" s="280"/>
      <c r="AV625" s="280"/>
      <c r="AW625" s="280"/>
      <c r="AX625" s="280"/>
      <c r="AY625" s="280"/>
      <c r="AZ625" s="280"/>
      <c r="BA625" s="280"/>
      <c r="BB625" s="280"/>
      <c r="BC625" s="280"/>
      <c r="BD625" s="280"/>
      <c r="BE625" s="280"/>
      <c r="BF625" s="280"/>
      <c r="BG625" s="280"/>
      <c r="BH625" s="280"/>
      <c r="BI625" s="280"/>
      <c r="BJ625" s="280"/>
      <c r="BK625" s="280"/>
      <c r="BL625" s="280"/>
      <c r="BM625" s="280"/>
      <c r="BN625" s="280"/>
      <c r="BO625" s="280"/>
      <c r="BP625" s="280"/>
      <c r="BQ625" s="280"/>
      <c r="BR625" s="280"/>
      <c r="BS625" s="280"/>
      <c r="BT625" s="280"/>
      <c r="BU625" s="280"/>
      <c r="BV625" s="280"/>
    </row>
    <row r="626" spans="2:74" x14ac:dyDescent="0.2">
      <c r="B626" s="280"/>
      <c r="D626" s="280"/>
      <c r="E626" s="280"/>
      <c r="F626" s="280"/>
      <c r="G626" s="280"/>
      <c r="H626" s="280"/>
      <c r="I626" s="280"/>
      <c r="J626" s="280"/>
      <c r="K626" s="280"/>
      <c r="L626" s="280"/>
      <c r="M626" s="280"/>
      <c r="N626" s="280"/>
      <c r="O626" s="280"/>
      <c r="P626" s="280"/>
      <c r="Q626" s="280"/>
      <c r="R626" s="280"/>
      <c r="S626" s="280"/>
      <c r="T626" s="280"/>
      <c r="U626" s="280"/>
      <c r="V626" s="280"/>
      <c r="W626" s="280"/>
      <c r="X626" s="280"/>
      <c r="Y626" s="280"/>
      <c r="Z626" s="280"/>
      <c r="AA626" s="280"/>
      <c r="AB626" s="280"/>
      <c r="AC626" s="280"/>
      <c r="AD626" s="280"/>
      <c r="AE626" s="280"/>
      <c r="AF626" s="280"/>
      <c r="AG626" s="280"/>
      <c r="AH626" s="280"/>
      <c r="AI626" s="280"/>
      <c r="AJ626" s="280"/>
      <c r="AK626" s="280"/>
      <c r="AL626" s="280"/>
      <c r="AM626" s="280"/>
      <c r="AN626" s="280"/>
      <c r="AO626" s="280"/>
      <c r="AP626" s="280"/>
      <c r="AQ626" s="280"/>
      <c r="AR626" s="280"/>
      <c r="AS626" s="280"/>
      <c r="AT626" s="28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280"/>
      <c r="BP626" s="280"/>
      <c r="BQ626" s="280"/>
      <c r="BR626" s="280"/>
      <c r="BS626" s="280"/>
      <c r="BT626" s="280"/>
      <c r="BU626" s="280"/>
      <c r="BV626" s="280"/>
    </row>
    <row r="627" spans="2:74" x14ac:dyDescent="0.2">
      <c r="B627" s="280"/>
      <c r="D627" s="280"/>
      <c r="E627" s="280"/>
      <c r="F627" s="280"/>
      <c r="G627" s="280"/>
      <c r="H627" s="280"/>
      <c r="I627" s="280"/>
      <c r="J627" s="280"/>
      <c r="K627" s="280"/>
      <c r="L627" s="280"/>
      <c r="M627" s="280"/>
      <c r="N627" s="280"/>
      <c r="O627" s="280"/>
      <c r="P627" s="280"/>
      <c r="Q627" s="280"/>
      <c r="R627" s="280"/>
      <c r="S627" s="280"/>
      <c r="T627" s="280"/>
      <c r="U627" s="280"/>
      <c r="V627" s="280"/>
      <c r="W627" s="280"/>
      <c r="X627" s="280"/>
      <c r="Y627" s="280"/>
      <c r="Z627" s="280"/>
      <c r="AA627" s="280"/>
      <c r="AB627" s="280"/>
      <c r="AC627" s="280"/>
      <c r="AD627" s="280"/>
      <c r="AE627" s="280"/>
      <c r="AF627" s="280"/>
      <c r="AG627" s="280"/>
      <c r="AH627" s="280"/>
      <c r="AI627" s="280"/>
      <c r="AJ627" s="280"/>
      <c r="AK627" s="280"/>
      <c r="AL627" s="280"/>
      <c r="AM627" s="280"/>
      <c r="AN627" s="280"/>
      <c r="AO627" s="280"/>
      <c r="AP627" s="280"/>
      <c r="AQ627" s="280"/>
      <c r="AR627" s="280"/>
      <c r="AS627" s="280"/>
      <c r="AT627" s="280"/>
      <c r="AU627" s="280"/>
      <c r="AV627" s="280"/>
      <c r="AW627" s="280"/>
      <c r="AX627" s="280"/>
      <c r="AY627" s="280"/>
      <c r="AZ627" s="280"/>
      <c r="BA627" s="280"/>
      <c r="BB627" s="280"/>
      <c r="BC627" s="280"/>
      <c r="BD627" s="280"/>
      <c r="BE627" s="280"/>
      <c r="BF627" s="280"/>
      <c r="BG627" s="280"/>
      <c r="BH627" s="280"/>
      <c r="BI627" s="280"/>
      <c r="BJ627" s="280"/>
      <c r="BK627" s="280"/>
      <c r="BL627" s="280"/>
      <c r="BM627" s="280"/>
      <c r="BN627" s="280"/>
      <c r="BO627" s="280"/>
      <c r="BP627" s="280"/>
      <c r="BQ627" s="280"/>
      <c r="BR627" s="280"/>
      <c r="BS627" s="280"/>
      <c r="BT627" s="280"/>
      <c r="BU627" s="280"/>
      <c r="BV627" s="280"/>
    </row>
    <row r="628" spans="2:74" x14ac:dyDescent="0.2">
      <c r="B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0"/>
      <c r="Z628" s="280"/>
      <c r="AA628" s="280"/>
      <c r="AB628" s="280"/>
      <c r="AC628" s="280"/>
      <c r="AD628" s="280"/>
      <c r="AE628" s="280"/>
      <c r="AF628" s="280"/>
      <c r="AG628" s="280"/>
      <c r="AH628" s="280"/>
      <c r="AI628" s="280"/>
      <c r="AJ628" s="280"/>
      <c r="AK628" s="280"/>
      <c r="AL628" s="280"/>
      <c r="AM628" s="280"/>
      <c r="AN628" s="280"/>
      <c r="AO628" s="280"/>
      <c r="AP628" s="280"/>
      <c r="AQ628" s="280"/>
      <c r="AR628" s="280"/>
      <c r="AS628" s="280"/>
      <c r="AT628" s="280"/>
      <c r="AU628" s="280"/>
      <c r="AV628" s="280"/>
      <c r="AW628" s="280"/>
      <c r="AX628" s="280"/>
      <c r="AY628" s="280"/>
      <c r="AZ628" s="280"/>
      <c r="BA628" s="280"/>
      <c r="BB628" s="280"/>
      <c r="BC628" s="280"/>
      <c r="BD628" s="280"/>
      <c r="BE628" s="280"/>
      <c r="BF628" s="280"/>
      <c r="BG628" s="280"/>
      <c r="BH628" s="280"/>
      <c r="BI628" s="280"/>
      <c r="BJ628" s="280"/>
      <c r="BK628" s="280"/>
      <c r="BL628" s="280"/>
      <c r="BM628" s="280"/>
      <c r="BN628" s="280"/>
      <c r="BO628" s="280"/>
      <c r="BP628" s="280"/>
      <c r="BQ628" s="280"/>
      <c r="BR628" s="280"/>
      <c r="BS628" s="280"/>
      <c r="BT628" s="280"/>
      <c r="BU628" s="280"/>
      <c r="BV628" s="280"/>
    </row>
    <row r="629" spans="2:74" x14ac:dyDescent="0.2">
      <c r="B629" s="280"/>
      <c r="D629" s="280"/>
      <c r="E629" s="280"/>
      <c r="F629" s="280"/>
      <c r="G629" s="280"/>
      <c r="H629" s="280"/>
      <c r="I629" s="280"/>
      <c r="J629" s="280"/>
      <c r="K629" s="280"/>
      <c r="L629" s="280"/>
      <c r="M629" s="280"/>
      <c r="N629" s="280"/>
      <c r="O629" s="280"/>
      <c r="P629" s="280"/>
      <c r="Q629" s="280"/>
      <c r="R629" s="280"/>
      <c r="S629" s="280"/>
      <c r="T629" s="280"/>
      <c r="U629" s="280"/>
      <c r="V629" s="280"/>
      <c r="W629" s="280"/>
      <c r="X629" s="280"/>
      <c r="Y629" s="280"/>
      <c r="Z629" s="280"/>
      <c r="AA629" s="280"/>
      <c r="AB629" s="280"/>
      <c r="AC629" s="280"/>
      <c r="AD629" s="280"/>
      <c r="AE629" s="280"/>
      <c r="AF629" s="280"/>
      <c r="AG629" s="280"/>
      <c r="AH629" s="280"/>
      <c r="AI629" s="280"/>
      <c r="AJ629" s="280"/>
      <c r="AK629" s="280"/>
      <c r="AL629" s="280"/>
      <c r="AM629" s="280"/>
      <c r="AN629" s="280"/>
      <c r="AO629" s="280"/>
      <c r="AP629" s="280"/>
      <c r="AQ629" s="280"/>
      <c r="AR629" s="280"/>
      <c r="AS629" s="280"/>
      <c r="AT629" s="280"/>
      <c r="AU629" s="280"/>
      <c r="AV629" s="280"/>
      <c r="AW629" s="280"/>
      <c r="AX629" s="280"/>
      <c r="AY629" s="280"/>
      <c r="AZ629" s="280"/>
      <c r="BA629" s="280"/>
      <c r="BB629" s="280"/>
      <c r="BC629" s="280"/>
      <c r="BD629" s="280"/>
      <c r="BE629" s="280"/>
      <c r="BF629" s="280"/>
      <c r="BG629" s="280"/>
      <c r="BH629" s="280"/>
      <c r="BI629" s="280"/>
      <c r="BJ629" s="280"/>
      <c r="BK629" s="280"/>
      <c r="BL629" s="280"/>
      <c r="BM629" s="280"/>
      <c r="BN629" s="280"/>
      <c r="BO629" s="280"/>
      <c r="BP629" s="280"/>
      <c r="BQ629" s="280"/>
      <c r="BR629" s="280"/>
      <c r="BS629" s="280"/>
      <c r="BT629" s="280"/>
      <c r="BU629" s="280"/>
      <c r="BV629" s="280"/>
    </row>
    <row r="630" spans="2:74" x14ac:dyDescent="0.2">
      <c r="B630" s="280"/>
      <c r="D630" s="280"/>
      <c r="E630" s="280"/>
      <c r="F630" s="280"/>
      <c r="G630" s="280"/>
      <c r="H630" s="280"/>
      <c r="I630" s="280"/>
      <c r="J630" s="280"/>
      <c r="K630" s="280"/>
      <c r="L630" s="280"/>
      <c r="M630" s="280"/>
      <c r="N630" s="280"/>
      <c r="O630" s="280"/>
      <c r="P630" s="280"/>
      <c r="Q630" s="280"/>
      <c r="R630" s="280"/>
      <c r="S630" s="280"/>
      <c r="T630" s="280"/>
      <c r="U630" s="280"/>
      <c r="V630" s="280"/>
      <c r="W630" s="280"/>
      <c r="X630" s="280"/>
      <c r="Y630" s="280"/>
      <c r="Z630" s="280"/>
      <c r="AA630" s="280"/>
      <c r="AB630" s="280"/>
      <c r="AC630" s="280"/>
      <c r="AD630" s="280"/>
      <c r="AE630" s="280"/>
      <c r="AF630" s="280"/>
      <c r="AG630" s="280"/>
      <c r="AH630" s="280"/>
      <c r="AI630" s="280"/>
      <c r="AJ630" s="280"/>
      <c r="AK630" s="280"/>
      <c r="AL630" s="280"/>
      <c r="AM630" s="280"/>
      <c r="AN630" s="280"/>
      <c r="AO630" s="280"/>
      <c r="AP630" s="280"/>
      <c r="AQ630" s="280"/>
      <c r="AR630" s="280"/>
      <c r="AS630" s="280"/>
      <c r="AT630" s="280"/>
      <c r="AU630" s="280"/>
      <c r="AV630" s="280"/>
      <c r="AW630" s="280"/>
      <c r="AX630" s="280"/>
      <c r="AY630" s="280"/>
      <c r="AZ630" s="280"/>
      <c r="BA630" s="280"/>
      <c r="BB630" s="280"/>
      <c r="BC630" s="280"/>
      <c r="BD630" s="280"/>
      <c r="BE630" s="280"/>
      <c r="BF630" s="280"/>
      <c r="BG630" s="280"/>
      <c r="BH630" s="280"/>
      <c r="BI630" s="280"/>
      <c r="BJ630" s="280"/>
      <c r="BK630" s="280"/>
      <c r="BL630" s="280"/>
      <c r="BM630" s="280"/>
      <c r="BN630" s="280"/>
      <c r="BO630" s="280"/>
      <c r="BP630" s="280"/>
      <c r="BQ630" s="280"/>
      <c r="BR630" s="280"/>
      <c r="BS630" s="280"/>
      <c r="BT630" s="280"/>
      <c r="BU630" s="280"/>
      <c r="BV630" s="280"/>
    </row>
    <row r="631" spans="2:74" x14ac:dyDescent="0.2">
      <c r="B631" s="280"/>
      <c r="D631" s="280"/>
      <c r="E631" s="280"/>
      <c r="F631" s="280"/>
      <c r="G631" s="280"/>
      <c r="H631" s="280"/>
      <c r="I631" s="280"/>
      <c r="J631" s="280"/>
      <c r="K631" s="280"/>
      <c r="L631" s="280"/>
      <c r="M631" s="280"/>
      <c r="N631" s="280"/>
      <c r="O631" s="280"/>
      <c r="P631" s="280"/>
      <c r="Q631" s="280"/>
      <c r="R631" s="280"/>
      <c r="S631" s="280"/>
      <c r="T631" s="280"/>
      <c r="U631" s="280"/>
      <c r="V631" s="280"/>
      <c r="W631" s="280"/>
      <c r="X631" s="280"/>
      <c r="Y631" s="280"/>
      <c r="Z631" s="280"/>
      <c r="AA631" s="280"/>
      <c r="AB631" s="280"/>
      <c r="AC631" s="280"/>
      <c r="AD631" s="280"/>
      <c r="AE631" s="280"/>
      <c r="AF631" s="280"/>
      <c r="AG631" s="280"/>
      <c r="AH631" s="280"/>
      <c r="AI631" s="280"/>
      <c r="AJ631" s="280"/>
      <c r="AK631" s="280"/>
      <c r="AL631" s="280"/>
      <c r="AM631" s="280"/>
      <c r="AN631" s="280"/>
      <c r="AO631" s="280"/>
      <c r="AP631" s="280"/>
      <c r="AQ631" s="280"/>
      <c r="AR631" s="280"/>
      <c r="AS631" s="280"/>
      <c r="AT631" s="280"/>
      <c r="AU631" s="280"/>
      <c r="AV631" s="280"/>
      <c r="AW631" s="280"/>
      <c r="AX631" s="280"/>
      <c r="AY631" s="280"/>
      <c r="AZ631" s="280"/>
      <c r="BA631" s="280"/>
      <c r="BB631" s="280"/>
      <c r="BC631" s="280"/>
      <c r="BD631" s="280"/>
      <c r="BE631" s="280"/>
      <c r="BF631" s="280"/>
      <c r="BG631" s="280"/>
      <c r="BH631" s="280"/>
      <c r="BI631" s="280"/>
      <c r="BJ631" s="280"/>
      <c r="BK631" s="280"/>
      <c r="BL631" s="280"/>
      <c r="BM631" s="280"/>
      <c r="BN631" s="280"/>
      <c r="BO631" s="280"/>
      <c r="BP631" s="280"/>
      <c r="BQ631" s="280"/>
      <c r="BR631" s="280"/>
      <c r="BS631" s="280"/>
      <c r="BT631" s="280"/>
      <c r="BU631" s="280"/>
      <c r="BV631" s="280"/>
    </row>
    <row r="632" spans="2:74" x14ac:dyDescent="0.2">
      <c r="B632" s="280"/>
      <c r="D632" s="280"/>
      <c r="E632" s="280"/>
      <c r="F632" s="280"/>
      <c r="G632" s="280"/>
      <c r="H632" s="280"/>
      <c r="I632" s="280"/>
      <c r="J632" s="280"/>
      <c r="K632" s="280"/>
      <c r="L632" s="280"/>
      <c r="M632" s="280"/>
      <c r="N632" s="280"/>
      <c r="O632" s="280"/>
      <c r="P632" s="280"/>
      <c r="Q632" s="280"/>
      <c r="R632" s="280"/>
      <c r="S632" s="280"/>
      <c r="T632" s="280"/>
      <c r="U632" s="280"/>
      <c r="V632" s="280"/>
      <c r="W632" s="280"/>
      <c r="X632" s="280"/>
      <c r="Y632" s="280"/>
      <c r="Z632" s="280"/>
      <c r="AA632" s="280"/>
      <c r="AB632" s="280"/>
      <c r="AC632" s="280"/>
      <c r="AD632" s="280"/>
      <c r="AE632" s="280"/>
      <c r="AF632" s="280"/>
      <c r="AG632" s="280"/>
      <c r="AH632" s="280"/>
      <c r="AI632" s="280"/>
      <c r="AJ632" s="280"/>
      <c r="AK632" s="280"/>
      <c r="AL632" s="280"/>
      <c r="AM632" s="280"/>
      <c r="AN632" s="280"/>
      <c r="AO632" s="280"/>
      <c r="AP632" s="280"/>
      <c r="AQ632" s="280"/>
      <c r="AR632" s="280"/>
      <c r="AS632" s="280"/>
      <c r="AT632" s="280"/>
      <c r="AU632" s="280"/>
      <c r="AV632" s="280"/>
      <c r="AW632" s="280"/>
      <c r="AX632" s="280"/>
      <c r="AY632" s="280"/>
      <c r="AZ632" s="280"/>
      <c r="BA632" s="280"/>
      <c r="BB632" s="280"/>
      <c r="BC632" s="280"/>
      <c r="BD632" s="280"/>
      <c r="BE632" s="280"/>
      <c r="BF632" s="280"/>
      <c r="BG632" s="280"/>
      <c r="BH632" s="280"/>
      <c r="BI632" s="280"/>
      <c r="BJ632" s="280"/>
      <c r="BK632" s="280"/>
      <c r="BL632" s="280"/>
      <c r="BM632" s="280"/>
      <c r="BN632" s="280"/>
      <c r="BO632" s="280"/>
      <c r="BP632" s="280"/>
      <c r="BQ632" s="280"/>
      <c r="BR632" s="280"/>
      <c r="BS632" s="280"/>
      <c r="BT632" s="280"/>
      <c r="BU632" s="280"/>
      <c r="BV632" s="280"/>
    </row>
    <row r="633" spans="2:74" x14ac:dyDescent="0.2">
      <c r="B633" s="280"/>
      <c r="D633" s="280"/>
      <c r="E633" s="280"/>
      <c r="F633" s="280"/>
      <c r="G633" s="280"/>
      <c r="H633" s="280"/>
      <c r="I633" s="280"/>
      <c r="J633" s="280"/>
      <c r="K633" s="280"/>
      <c r="L633" s="280"/>
      <c r="M633" s="280"/>
      <c r="N633" s="280"/>
      <c r="O633" s="280"/>
      <c r="P633" s="280"/>
      <c r="Q633" s="280"/>
      <c r="R633" s="280"/>
      <c r="S633" s="280"/>
      <c r="T633" s="280"/>
      <c r="U633" s="280"/>
      <c r="V633" s="280"/>
      <c r="W633" s="280"/>
      <c r="X633" s="280"/>
      <c r="Y633" s="280"/>
      <c r="Z633" s="280"/>
      <c r="AA633" s="280"/>
      <c r="AB633" s="280"/>
      <c r="AC633" s="280"/>
      <c r="AD633" s="280"/>
      <c r="AE633" s="280"/>
      <c r="AF633" s="280"/>
      <c r="AG633" s="280"/>
      <c r="AH633" s="280"/>
      <c r="AI633" s="280"/>
      <c r="AJ633" s="280"/>
      <c r="AK633" s="280"/>
      <c r="AL633" s="280"/>
      <c r="AM633" s="280"/>
      <c r="AN633" s="280"/>
      <c r="AO633" s="280"/>
      <c r="AP633" s="280"/>
      <c r="AQ633" s="280"/>
      <c r="AR633" s="280"/>
      <c r="AS633" s="280"/>
      <c r="AT633" s="280"/>
      <c r="AU633" s="280"/>
      <c r="AV633" s="280"/>
      <c r="AW633" s="280"/>
      <c r="AX633" s="280"/>
      <c r="AY633" s="280"/>
      <c r="AZ633" s="280"/>
      <c r="BA633" s="280"/>
      <c r="BB633" s="280"/>
      <c r="BC633" s="280"/>
      <c r="BD633" s="280"/>
      <c r="BE633" s="280"/>
      <c r="BF633" s="280"/>
      <c r="BG633" s="280"/>
      <c r="BH633" s="280"/>
      <c r="BI633" s="280"/>
      <c r="BJ633" s="280"/>
      <c r="BK633" s="280"/>
      <c r="BL633" s="280"/>
      <c r="BM633" s="280"/>
      <c r="BN633" s="280"/>
      <c r="BO633" s="280"/>
      <c r="BP633" s="280"/>
      <c r="BQ633" s="280"/>
      <c r="BR633" s="280"/>
      <c r="BS633" s="280"/>
      <c r="BT633" s="280"/>
      <c r="BU633" s="280"/>
      <c r="BV633" s="280"/>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 right="0.7"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148"/>
  <sheetViews>
    <sheetView topLeftCell="D1" workbookViewId="0">
      <selection activeCell="CD35" sqref="CD35"/>
    </sheetView>
  </sheetViews>
  <sheetFormatPr defaultColWidth="10" defaultRowHeight="12.75" x14ac:dyDescent="0.2"/>
  <cols>
    <col min="1" max="1" width="1.5703125" style="38" customWidth="1"/>
    <col min="2" max="2" width="1.42578125" style="38" customWidth="1"/>
    <col min="3" max="3" width="57.5703125" style="38" customWidth="1"/>
    <col min="4" max="4" width="2.7109375" style="38" customWidth="1"/>
    <col min="5" max="5" width="8.7109375" style="38" hidden="1" customWidth="1"/>
    <col min="6" max="7" width="1" style="38" customWidth="1"/>
    <col min="8" max="8" width="19.7109375" style="38" customWidth="1"/>
    <col min="9" max="10" width="1" style="38" customWidth="1"/>
    <col min="11" max="11" width="2" style="38" customWidth="1"/>
    <col min="12" max="12" width="1" style="38" customWidth="1"/>
    <col min="13" max="13" width="17.85546875" style="38" customWidth="1"/>
    <col min="14" max="17" width="1" style="38" customWidth="1"/>
    <col min="18" max="18" width="17.85546875" style="38" customWidth="1"/>
    <col min="19" max="22" width="1" style="38" customWidth="1"/>
    <col min="23" max="23" width="17.85546875" style="38" customWidth="1"/>
    <col min="24" max="27" width="1" style="38" customWidth="1"/>
    <col min="28" max="28" width="17.85546875" style="38" customWidth="1"/>
    <col min="29" max="32" width="1" style="38" customWidth="1"/>
    <col min="33" max="33" width="17.85546875" style="38" customWidth="1"/>
    <col min="34" max="37" width="1" style="38" customWidth="1"/>
    <col min="38" max="38" width="17.85546875" style="38" customWidth="1"/>
    <col min="39" max="40" width="1" style="38" customWidth="1"/>
    <col min="41" max="42" width="1" style="38" hidden="1" customWidth="1"/>
    <col min="43" max="43" width="17.85546875" style="38" hidden="1" customWidth="1"/>
    <col min="44" max="47" width="1" style="38" hidden="1" customWidth="1"/>
    <col min="48" max="48" width="17.85546875" style="38" hidden="1" customWidth="1"/>
    <col min="49" max="52" width="1" style="38" hidden="1" customWidth="1"/>
    <col min="53" max="53" width="17.85546875" style="38" hidden="1" customWidth="1"/>
    <col min="54" max="57" width="1" style="38" hidden="1" customWidth="1"/>
    <col min="58" max="58" width="17.85546875" style="38" hidden="1" customWidth="1"/>
    <col min="59" max="62" width="1" style="38" hidden="1" customWidth="1"/>
    <col min="63" max="63" width="17.85546875" style="38" hidden="1" customWidth="1"/>
    <col min="64" max="67" width="1" style="38" hidden="1" customWidth="1"/>
    <col min="68" max="68" width="17.85546875" style="38" hidden="1" customWidth="1"/>
    <col min="69" max="70" width="1" style="38" hidden="1" customWidth="1"/>
    <col min="71" max="72" width="1" style="38" customWidth="1"/>
    <col min="73" max="73" width="17.85546875" style="38" customWidth="1"/>
    <col min="74" max="75" width="1" style="38" customWidth="1"/>
    <col min="76" max="76" width="1.5703125" style="38" customWidth="1"/>
    <col min="77" max="77" width="0.7109375" style="377" customWidth="1"/>
    <col min="78" max="78" width="1.85546875" style="38" customWidth="1"/>
    <col min="79" max="79" width="10.7109375" style="38" customWidth="1"/>
    <col min="80" max="80" width="13" style="38" hidden="1" customWidth="1"/>
    <col min="81" max="186" width="10" style="38"/>
    <col min="187" max="187" width="1.5703125" style="38" customWidth="1"/>
    <col min="188" max="188" width="1.42578125" style="38" customWidth="1"/>
    <col min="189" max="189" width="57.5703125" style="38" customWidth="1"/>
    <col min="190" max="190" width="2.7109375" style="38" customWidth="1"/>
    <col min="191" max="191" width="0" style="38" hidden="1" customWidth="1"/>
    <col min="192" max="193" width="1" style="38" customWidth="1"/>
    <col min="194" max="194" width="19.7109375" style="38" customWidth="1"/>
    <col min="195" max="196" width="1" style="38" customWidth="1"/>
    <col min="197" max="221" width="0" style="38" hidden="1" customWidth="1"/>
    <col min="222" max="223" width="1" style="38" customWidth="1"/>
    <col min="224" max="224" width="17.85546875" style="38" customWidth="1"/>
    <col min="225" max="226" width="1" style="38" customWidth="1"/>
    <col min="227" max="256" width="0" style="38" hidden="1" customWidth="1"/>
    <col min="257" max="258" width="1" style="38" customWidth="1"/>
    <col min="259" max="259" width="17.85546875" style="38" customWidth="1"/>
    <col min="260" max="263" width="1" style="38" customWidth="1"/>
    <col min="264" max="264" width="17.85546875" style="38" customWidth="1"/>
    <col min="265" max="266" width="1" style="38" customWidth="1"/>
    <col min="267" max="285" width="0" style="38" hidden="1" customWidth="1"/>
    <col min="286" max="286" width="1" style="38" customWidth="1"/>
    <col min="287" max="291" width="0" style="38" hidden="1" customWidth="1"/>
    <col min="292" max="293" width="1" style="38" customWidth="1"/>
    <col min="294" max="294" width="17.85546875" style="38" customWidth="1"/>
    <col min="295" max="296" width="1" style="38" customWidth="1"/>
    <col min="297" max="326" width="0" style="38" hidden="1" customWidth="1"/>
    <col min="327" max="328" width="1" style="38" customWidth="1"/>
    <col min="329" max="329" width="17.85546875" style="38" customWidth="1"/>
    <col min="330" max="331" width="1" style="38" customWidth="1"/>
    <col min="332" max="332" width="1.5703125" style="38" customWidth="1"/>
    <col min="333" max="333" width="0.7109375" style="38" customWidth="1"/>
    <col min="334" max="334" width="1.85546875" style="38" customWidth="1"/>
    <col min="335" max="335" width="10.7109375" style="38" customWidth="1"/>
    <col min="336" max="336" width="0" style="38" hidden="1" customWidth="1"/>
    <col min="337" max="442" width="10" style="38"/>
    <col min="443" max="443" width="1.5703125" style="38" customWidth="1"/>
    <col min="444" max="444" width="1.42578125" style="38" customWidth="1"/>
    <col min="445" max="445" width="57.5703125" style="38" customWidth="1"/>
    <col min="446" max="446" width="2.7109375" style="38" customWidth="1"/>
    <col min="447" max="447" width="0" style="38" hidden="1" customWidth="1"/>
    <col min="448" max="449" width="1" style="38" customWidth="1"/>
    <col min="450" max="450" width="19.7109375" style="38" customWidth="1"/>
    <col min="451" max="452" width="1" style="38" customWidth="1"/>
    <col min="453" max="477" width="0" style="38" hidden="1" customWidth="1"/>
    <col min="478" max="479" width="1" style="38" customWidth="1"/>
    <col min="480" max="480" width="17.85546875" style="38" customWidth="1"/>
    <col min="481" max="482" width="1" style="38" customWidth="1"/>
    <col min="483" max="512" width="0" style="38" hidden="1" customWidth="1"/>
    <col min="513" max="514" width="1" style="38" customWidth="1"/>
    <col min="515" max="515" width="17.85546875" style="38" customWidth="1"/>
    <col min="516" max="519" width="1" style="38" customWidth="1"/>
    <col min="520" max="520" width="17.85546875" style="38" customWidth="1"/>
    <col min="521" max="522" width="1" style="38" customWidth="1"/>
    <col min="523" max="541" width="0" style="38" hidden="1" customWidth="1"/>
    <col min="542" max="542" width="1" style="38" customWidth="1"/>
    <col min="543" max="547" width="0" style="38" hidden="1" customWidth="1"/>
    <col min="548" max="549" width="1" style="38" customWidth="1"/>
    <col min="550" max="550" width="17.85546875" style="38" customWidth="1"/>
    <col min="551" max="552" width="1" style="38" customWidth="1"/>
    <col min="553" max="582" width="0" style="38" hidden="1" customWidth="1"/>
    <col min="583" max="584" width="1" style="38" customWidth="1"/>
    <col min="585" max="585" width="17.85546875" style="38" customWidth="1"/>
    <col min="586" max="587" width="1" style="38" customWidth="1"/>
    <col min="588" max="588" width="1.5703125" style="38" customWidth="1"/>
    <col min="589" max="589" width="0.7109375" style="38" customWidth="1"/>
    <col min="590" max="590" width="1.85546875" style="38" customWidth="1"/>
    <col min="591" max="591" width="10.7109375" style="38" customWidth="1"/>
    <col min="592" max="592" width="0" style="38" hidden="1" customWidth="1"/>
    <col min="593" max="698" width="10" style="38"/>
    <col min="699" max="699" width="1.5703125" style="38" customWidth="1"/>
    <col min="700" max="700" width="1.42578125" style="38" customWidth="1"/>
    <col min="701" max="701" width="57.5703125" style="38" customWidth="1"/>
    <col min="702" max="702" width="2.7109375" style="38" customWidth="1"/>
    <col min="703" max="703" width="0" style="38" hidden="1" customWidth="1"/>
    <col min="704" max="705" width="1" style="38" customWidth="1"/>
    <col min="706" max="706" width="19.7109375" style="38" customWidth="1"/>
    <col min="707" max="708" width="1" style="38" customWidth="1"/>
    <col min="709" max="733" width="0" style="38" hidden="1" customWidth="1"/>
    <col min="734" max="735" width="1" style="38" customWidth="1"/>
    <col min="736" max="736" width="17.85546875" style="38" customWidth="1"/>
    <col min="737" max="738" width="1" style="38" customWidth="1"/>
    <col min="739" max="768" width="0" style="38" hidden="1" customWidth="1"/>
    <col min="769" max="770" width="1" style="38" customWidth="1"/>
    <col min="771" max="771" width="17.85546875" style="38" customWidth="1"/>
    <col min="772" max="775" width="1" style="38" customWidth="1"/>
    <col min="776" max="776" width="17.85546875" style="38" customWidth="1"/>
    <col min="777" max="778" width="1" style="38" customWidth="1"/>
    <col min="779" max="797" width="0" style="38" hidden="1" customWidth="1"/>
    <col min="798" max="798" width="1" style="38" customWidth="1"/>
    <col min="799" max="803" width="0" style="38" hidden="1" customWidth="1"/>
    <col min="804" max="805" width="1" style="38" customWidth="1"/>
    <col min="806" max="806" width="17.85546875" style="38" customWidth="1"/>
    <col min="807" max="808" width="1" style="38" customWidth="1"/>
    <col min="809" max="838" width="0" style="38" hidden="1" customWidth="1"/>
    <col min="839" max="840" width="1" style="38" customWidth="1"/>
    <col min="841" max="841" width="17.85546875" style="38" customWidth="1"/>
    <col min="842" max="843" width="1" style="38" customWidth="1"/>
    <col min="844" max="844" width="1.5703125" style="38" customWidth="1"/>
    <col min="845" max="845" width="0.7109375" style="38" customWidth="1"/>
    <col min="846" max="846" width="1.85546875" style="38" customWidth="1"/>
    <col min="847" max="847" width="10.7109375" style="38" customWidth="1"/>
    <col min="848" max="848" width="0" style="38" hidden="1" customWidth="1"/>
    <col min="849" max="954" width="10" style="38"/>
    <col min="955" max="955" width="1.5703125" style="38" customWidth="1"/>
    <col min="956" max="956" width="1.42578125" style="38" customWidth="1"/>
    <col min="957" max="957" width="57.5703125" style="38" customWidth="1"/>
    <col min="958" max="958" width="2.7109375" style="38" customWidth="1"/>
    <col min="959" max="959" width="0" style="38" hidden="1" customWidth="1"/>
    <col min="960" max="961" width="1" style="38" customWidth="1"/>
    <col min="962" max="962" width="19.7109375" style="38" customWidth="1"/>
    <col min="963" max="964" width="1" style="38" customWidth="1"/>
    <col min="965" max="989" width="0" style="38" hidden="1" customWidth="1"/>
    <col min="990" max="991" width="1" style="38" customWidth="1"/>
    <col min="992" max="992" width="17.85546875" style="38" customWidth="1"/>
    <col min="993" max="994" width="1" style="38" customWidth="1"/>
    <col min="995" max="1024" width="0" style="38" hidden="1" customWidth="1"/>
    <col min="1025" max="1026" width="1" style="38" customWidth="1"/>
    <col min="1027" max="1027" width="17.85546875" style="38" customWidth="1"/>
    <col min="1028" max="1031" width="1" style="38" customWidth="1"/>
    <col min="1032" max="1032" width="17.85546875" style="38" customWidth="1"/>
    <col min="1033" max="1034" width="1" style="38" customWidth="1"/>
    <col min="1035" max="1053" width="0" style="38" hidden="1" customWidth="1"/>
    <col min="1054" max="1054" width="1" style="38" customWidth="1"/>
    <col min="1055" max="1059" width="0" style="38" hidden="1" customWidth="1"/>
    <col min="1060" max="1061" width="1" style="38" customWidth="1"/>
    <col min="1062" max="1062" width="17.85546875" style="38" customWidth="1"/>
    <col min="1063" max="1064" width="1" style="38" customWidth="1"/>
    <col min="1065" max="1094" width="0" style="38" hidden="1" customWidth="1"/>
    <col min="1095" max="1096" width="1" style="38" customWidth="1"/>
    <col min="1097" max="1097" width="17.85546875" style="38" customWidth="1"/>
    <col min="1098" max="1099" width="1" style="38" customWidth="1"/>
    <col min="1100" max="1100" width="1.5703125" style="38" customWidth="1"/>
    <col min="1101" max="1101" width="0.7109375" style="38" customWidth="1"/>
    <col min="1102" max="1102" width="1.85546875" style="38" customWidth="1"/>
    <col min="1103" max="1103" width="10.7109375" style="38" customWidth="1"/>
    <col min="1104" max="1104" width="0" style="38" hidden="1" customWidth="1"/>
    <col min="1105" max="1210" width="10" style="38"/>
    <col min="1211" max="1211" width="1.5703125" style="38" customWidth="1"/>
    <col min="1212" max="1212" width="1.42578125" style="38" customWidth="1"/>
    <col min="1213" max="1213" width="57.5703125" style="38" customWidth="1"/>
    <col min="1214" max="1214" width="2.7109375" style="38" customWidth="1"/>
    <col min="1215" max="1215" width="0" style="38" hidden="1" customWidth="1"/>
    <col min="1216" max="1217" width="1" style="38" customWidth="1"/>
    <col min="1218" max="1218" width="19.7109375" style="38" customWidth="1"/>
    <col min="1219" max="1220" width="1" style="38" customWidth="1"/>
    <col min="1221" max="1245" width="0" style="38" hidden="1" customWidth="1"/>
    <col min="1246" max="1247" width="1" style="38" customWidth="1"/>
    <col min="1248" max="1248" width="17.85546875" style="38" customWidth="1"/>
    <col min="1249" max="1250" width="1" style="38" customWidth="1"/>
    <col min="1251" max="1280" width="0" style="38" hidden="1" customWidth="1"/>
    <col min="1281" max="1282" width="1" style="38" customWidth="1"/>
    <col min="1283" max="1283" width="17.85546875" style="38" customWidth="1"/>
    <col min="1284" max="1287" width="1" style="38" customWidth="1"/>
    <col min="1288" max="1288" width="17.85546875" style="38" customWidth="1"/>
    <col min="1289" max="1290" width="1" style="38" customWidth="1"/>
    <col min="1291" max="1309" width="0" style="38" hidden="1" customWidth="1"/>
    <col min="1310" max="1310" width="1" style="38" customWidth="1"/>
    <col min="1311" max="1315" width="0" style="38" hidden="1" customWidth="1"/>
    <col min="1316" max="1317" width="1" style="38" customWidth="1"/>
    <col min="1318" max="1318" width="17.85546875" style="38" customWidth="1"/>
    <col min="1319" max="1320" width="1" style="38" customWidth="1"/>
    <col min="1321" max="1350" width="0" style="38" hidden="1" customWidth="1"/>
    <col min="1351" max="1352" width="1" style="38" customWidth="1"/>
    <col min="1353" max="1353" width="17.85546875" style="38" customWidth="1"/>
    <col min="1354" max="1355" width="1" style="38" customWidth="1"/>
    <col min="1356" max="1356" width="1.5703125" style="38" customWidth="1"/>
    <col min="1357" max="1357" width="0.7109375" style="38" customWidth="1"/>
    <col min="1358" max="1358" width="1.85546875" style="38" customWidth="1"/>
    <col min="1359" max="1359" width="10.7109375" style="38" customWidth="1"/>
    <col min="1360" max="1360" width="0" style="38" hidden="1" customWidth="1"/>
    <col min="1361" max="1466" width="10" style="38"/>
    <col min="1467" max="1467" width="1.5703125" style="38" customWidth="1"/>
    <col min="1468" max="1468" width="1.42578125" style="38" customWidth="1"/>
    <col min="1469" max="1469" width="57.5703125" style="38" customWidth="1"/>
    <col min="1470" max="1470" width="2.7109375" style="38" customWidth="1"/>
    <col min="1471" max="1471" width="0" style="38" hidden="1" customWidth="1"/>
    <col min="1472" max="1473" width="1" style="38" customWidth="1"/>
    <col min="1474" max="1474" width="19.7109375" style="38" customWidth="1"/>
    <col min="1475" max="1476" width="1" style="38" customWidth="1"/>
    <col min="1477" max="1501" width="0" style="38" hidden="1" customWidth="1"/>
    <col min="1502" max="1503" width="1" style="38" customWidth="1"/>
    <col min="1504" max="1504" width="17.85546875" style="38" customWidth="1"/>
    <col min="1505" max="1506" width="1" style="38" customWidth="1"/>
    <col min="1507" max="1536" width="0" style="38" hidden="1" customWidth="1"/>
    <col min="1537" max="1538" width="1" style="38" customWidth="1"/>
    <col min="1539" max="1539" width="17.85546875" style="38" customWidth="1"/>
    <col min="1540" max="1543" width="1" style="38" customWidth="1"/>
    <col min="1544" max="1544" width="17.85546875" style="38" customWidth="1"/>
    <col min="1545" max="1546" width="1" style="38" customWidth="1"/>
    <col min="1547" max="1565" width="0" style="38" hidden="1" customWidth="1"/>
    <col min="1566" max="1566" width="1" style="38" customWidth="1"/>
    <col min="1567" max="1571" width="0" style="38" hidden="1" customWidth="1"/>
    <col min="1572" max="1573" width="1" style="38" customWidth="1"/>
    <col min="1574" max="1574" width="17.85546875" style="38" customWidth="1"/>
    <col min="1575" max="1576" width="1" style="38" customWidth="1"/>
    <col min="1577" max="1606" width="0" style="38" hidden="1" customWidth="1"/>
    <col min="1607" max="1608" width="1" style="38" customWidth="1"/>
    <col min="1609" max="1609" width="17.85546875" style="38" customWidth="1"/>
    <col min="1610" max="1611" width="1" style="38" customWidth="1"/>
    <col min="1612" max="1612" width="1.5703125" style="38" customWidth="1"/>
    <col min="1613" max="1613" width="0.7109375" style="38" customWidth="1"/>
    <col min="1614" max="1614" width="1.85546875" style="38" customWidth="1"/>
    <col min="1615" max="1615" width="10.7109375" style="38" customWidth="1"/>
    <col min="1616" max="1616" width="0" style="38" hidden="1" customWidth="1"/>
    <col min="1617" max="1722" width="10" style="38"/>
    <col min="1723" max="1723" width="1.5703125" style="38" customWidth="1"/>
    <col min="1724" max="1724" width="1.42578125" style="38" customWidth="1"/>
    <col min="1725" max="1725" width="57.5703125" style="38" customWidth="1"/>
    <col min="1726" max="1726" width="2.7109375" style="38" customWidth="1"/>
    <col min="1727" max="1727" width="0" style="38" hidden="1" customWidth="1"/>
    <col min="1728" max="1729" width="1" style="38" customWidth="1"/>
    <col min="1730" max="1730" width="19.7109375" style="38" customWidth="1"/>
    <col min="1731" max="1732" width="1" style="38" customWidth="1"/>
    <col min="1733" max="1757" width="0" style="38" hidden="1" customWidth="1"/>
    <col min="1758" max="1759" width="1" style="38" customWidth="1"/>
    <col min="1760" max="1760" width="17.85546875" style="38" customWidth="1"/>
    <col min="1761" max="1762" width="1" style="38" customWidth="1"/>
    <col min="1763" max="1792" width="0" style="38" hidden="1" customWidth="1"/>
    <col min="1793" max="1794" width="1" style="38" customWidth="1"/>
    <col min="1795" max="1795" width="17.85546875" style="38" customWidth="1"/>
    <col min="1796" max="1799" width="1" style="38" customWidth="1"/>
    <col min="1800" max="1800" width="17.85546875" style="38" customWidth="1"/>
    <col min="1801" max="1802" width="1" style="38" customWidth="1"/>
    <col min="1803" max="1821" width="0" style="38" hidden="1" customWidth="1"/>
    <col min="1822" max="1822" width="1" style="38" customWidth="1"/>
    <col min="1823" max="1827" width="0" style="38" hidden="1" customWidth="1"/>
    <col min="1828" max="1829" width="1" style="38" customWidth="1"/>
    <col min="1830" max="1830" width="17.85546875" style="38" customWidth="1"/>
    <col min="1831" max="1832" width="1" style="38" customWidth="1"/>
    <col min="1833" max="1862" width="0" style="38" hidden="1" customWidth="1"/>
    <col min="1863" max="1864" width="1" style="38" customWidth="1"/>
    <col min="1865" max="1865" width="17.85546875" style="38" customWidth="1"/>
    <col min="1866" max="1867" width="1" style="38" customWidth="1"/>
    <col min="1868" max="1868" width="1.5703125" style="38" customWidth="1"/>
    <col min="1869" max="1869" width="0.7109375" style="38" customWidth="1"/>
    <col min="1870" max="1870" width="1.85546875" style="38" customWidth="1"/>
    <col min="1871" max="1871" width="10.7109375" style="38" customWidth="1"/>
    <col min="1872" max="1872" width="0" style="38" hidden="1" customWidth="1"/>
    <col min="1873" max="1978" width="10" style="38"/>
    <col min="1979" max="1979" width="1.5703125" style="38" customWidth="1"/>
    <col min="1980" max="1980" width="1.42578125" style="38" customWidth="1"/>
    <col min="1981" max="1981" width="57.5703125" style="38" customWidth="1"/>
    <col min="1982" max="1982" width="2.7109375" style="38" customWidth="1"/>
    <col min="1983" max="1983" width="0" style="38" hidden="1" customWidth="1"/>
    <col min="1984" max="1985" width="1" style="38" customWidth="1"/>
    <col min="1986" max="1986" width="19.7109375" style="38" customWidth="1"/>
    <col min="1987" max="1988" width="1" style="38" customWidth="1"/>
    <col min="1989" max="2013" width="0" style="38" hidden="1" customWidth="1"/>
    <col min="2014" max="2015" width="1" style="38" customWidth="1"/>
    <col min="2016" max="2016" width="17.85546875" style="38" customWidth="1"/>
    <col min="2017" max="2018" width="1" style="38" customWidth="1"/>
    <col min="2019" max="2048" width="0" style="38" hidden="1" customWidth="1"/>
    <col min="2049" max="2050" width="1" style="38" customWidth="1"/>
    <col min="2051" max="2051" width="17.85546875" style="38" customWidth="1"/>
    <col min="2052" max="2055" width="1" style="38" customWidth="1"/>
    <col min="2056" max="2056" width="17.85546875" style="38" customWidth="1"/>
    <col min="2057" max="2058" width="1" style="38" customWidth="1"/>
    <col min="2059" max="2077" width="0" style="38" hidden="1" customWidth="1"/>
    <col min="2078" max="2078" width="1" style="38" customWidth="1"/>
    <col min="2079" max="2083" width="0" style="38" hidden="1" customWidth="1"/>
    <col min="2084" max="2085" width="1" style="38" customWidth="1"/>
    <col min="2086" max="2086" width="17.85546875" style="38" customWidth="1"/>
    <col min="2087" max="2088" width="1" style="38" customWidth="1"/>
    <col min="2089" max="2118" width="0" style="38" hidden="1" customWidth="1"/>
    <col min="2119" max="2120" width="1" style="38" customWidth="1"/>
    <col min="2121" max="2121" width="17.85546875" style="38" customWidth="1"/>
    <col min="2122" max="2123" width="1" style="38" customWidth="1"/>
    <col min="2124" max="2124" width="1.5703125" style="38" customWidth="1"/>
    <col min="2125" max="2125" width="0.7109375" style="38" customWidth="1"/>
    <col min="2126" max="2126" width="1.85546875" style="38" customWidth="1"/>
    <col min="2127" max="2127" width="10.7109375" style="38" customWidth="1"/>
    <col min="2128" max="2128" width="0" style="38" hidden="1" customWidth="1"/>
    <col min="2129" max="2234" width="10" style="38"/>
    <col min="2235" max="2235" width="1.5703125" style="38" customWidth="1"/>
    <col min="2236" max="2236" width="1.42578125" style="38" customWidth="1"/>
    <col min="2237" max="2237" width="57.5703125" style="38" customWidth="1"/>
    <col min="2238" max="2238" width="2.7109375" style="38" customWidth="1"/>
    <col min="2239" max="2239" width="0" style="38" hidden="1" customWidth="1"/>
    <col min="2240" max="2241" width="1" style="38" customWidth="1"/>
    <col min="2242" max="2242" width="19.7109375" style="38" customWidth="1"/>
    <col min="2243" max="2244" width="1" style="38" customWidth="1"/>
    <col min="2245" max="2269" width="0" style="38" hidden="1" customWidth="1"/>
    <col min="2270" max="2271" width="1" style="38" customWidth="1"/>
    <col min="2272" max="2272" width="17.85546875" style="38" customWidth="1"/>
    <col min="2273" max="2274" width="1" style="38" customWidth="1"/>
    <col min="2275" max="2304" width="0" style="38" hidden="1" customWidth="1"/>
    <col min="2305" max="2306" width="1" style="38" customWidth="1"/>
    <col min="2307" max="2307" width="17.85546875" style="38" customWidth="1"/>
    <col min="2308" max="2311" width="1" style="38" customWidth="1"/>
    <col min="2312" max="2312" width="17.85546875" style="38" customWidth="1"/>
    <col min="2313" max="2314" width="1" style="38" customWidth="1"/>
    <col min="2315" max="2333" width="0" style="38" hidden="1" customWidth="1"/>
    <col min="2334" max="2334" width="1" style="38" customWidth="1"/>
    <col min="2335" max="2339" width="0" style="38" hidden="1" customWidth="1"/>
    <col min="2340" max="2341" width="1" style="38" customWidth="1"/>
    <col min="2342" max="2342" width="17.85546875" style="38" customWidth="1"/>
    <col min="2343" max="2344" width="1" style="38" customWidth="1"/>
    <col min="2345" max="2374" width="0" style="38" hidden="1" customWidth="1"/>
    <col min="2375" max="2376" width="1" style="38" customWidth="1"/>
    <col min="2377" max="2377" width="17.85546875" style="38" customWidth="1"/>
    <col min="2378" max="2379" width="1" style="38" customWidth="1"/>
    <col min="2380" max="2380" width="1.5703125" style="38" customWidth="1"/>
    <col min="2381" max="2381" width="0.7109375" style="38" customWidth="1"/>
    <col min="2382" max="2382" width="1.85546875" style="38" customWidth="1"/>
    <col min="2383" max="2383" width="10.7109375" style="38" customWidth="1"/>
    <col min="2384" max="2384" width="0" style="38" hidden="1" customWidth="1"/>
    <col min="2385" max="2490" width="10" style="38"/>
    <col min="2491" max="2491" width="1.5703125" style="38" customWidth="1"/>
    <col min="2492" max="2492" width="1.42578125" style="38" customWidth="1"/>
    <col min="2493" max="2493" width="57.5703125" style="38" customWidth="1"/>
    <col min="2494" max="2494" width="2.7109375" style="38" customWidth="1"/>
    <col min="2495" max="2495" width="0" style="38" hidden="1" customWidth="1"/>
    <col min="2496" max="2497" width="1" style="38" customWidth="1"/>
    <col min="2498" max="2498" width="19.7109375" style="38" customWidth="1"/>
    <col min="2499" max="2500" width="1" style="38" customWidth="1"/>
    <col min="2501" max="2525" width="0" style="38" hidden="1" customWidth="1"/>
    <col min="2526" max="2527" width="1" style="38" customWidth="1"/>
    <col min="2528" max="2528" width="17.85546875" style="38" customWidth="1"/>
    <col min="2529" max="2530" width="1" style="38" customWidth="1"/>
    <col min="2531" max="2560" width="0" style="38" hidden="1" customWidth="1"/>
    <col min="2561" max="2562" width="1" style="38" customWidth="1"/>
    <col min="2563" max="2563" width="17.85546875" style="38" customWidth="1"/>
    <col min="2564" max="2567" width="1" style="38" customWidth="1"/>
    <col min="2568" max="2568" width="17.85546875" style="38" customWidth="1"/>
    <col min="2569" max="2570" width="1" style="38" customWidth="1"/>
    <col min="2571" max="2589" width="0" style="38" hidden="1" customWidth="1"/>
    <col min="2590" max="2590" width="1" style="38" customWidth="1"/>
    <col min="2591" max="2595" width="0" style="38" hidden="1" customWidth="1"/>
    <col min="2596" max="2597" width="1" style="38" customWidth="1"/>
    <col min="2598" max="2598" width="17.85546875" style="38" customWidth="1"/>
    <col min="2599" max="2600" width="1" style="38" customWidth="1"/>
    <col min="2601" max="2630" width="0" style="38" hidden="1" customWidth="1"/>
    <col min="2631" max="2632" width="1" style="38" customWidth="1"/>
    <col min="2633" max="2633" width="17.85546875" style="38" customWidth="1"/>
    <col min="2634" max="2635" width="1" style="38" customWidth="1"/>
    <col min="2636" max="2636" width="1.5703125" style="38" customWidth="1"/>
    <col min="2637" max="2637" width="0.7109375" style="38" customWidth="1"/>
    <col min="2638" max="2638" width="1.85546875" style="38" customWidth="1"/>
    <col min="2639" max="2639" width="10.7109375" style="38" customWidth="1"/>
    <col min="2640" max="2640" width="0" style="38" hidden="1" customWidth="1"/>
    <col min="2641" max="2746" width="10" style="38"/>
    <col min="2747" max="2747" width="1.5703125" style="38" customWidth="1"/>
    <col min="2748" max="2748" width="1.42578125" style="38" customWidth="1"/>
    <col min="2749" max="2749" width="57.5703125" style="38" customWidth="1"/>
    <col min="2750" max="2750" width="2.7109375" style="38" customWidth="1"/>
    <col min="2751" max="2751" width="0" style="38" hidden="1" customWidth="1"/>
    <col min="2752" max="2753" width="1" style="38" customWidth="1"/>
    <col min="2754" max="2754" width="19.7109375" style="38" customWidth="1"/>
    <col min="2755" max="2756" width="1" style="38" customWidth="1"/>
    <col min="2757" max="2781" width="0" style="38" hidden="1" customWidth="1"/>
    <col min="2782" max="2783" width="1" style="38" customWidth="1"/>
    <col min="2784" max="2784" width="17.85546875" style="38" customWidth="1"/>
    <col min="2785" max="2786" width="1" style="38" customWidth="1"/>
    <col min="2787" max="2816" width="0" style="38" hidden="1" customWidth="1"/>
    <col min="2817" max="2818" width="1" style="38" customWidth="1"/>
    <col min="2819" max="2819" width="17.85546875" style="38" customWidth="1"/>
    <col min="2820" max="2823" width="1" style="38" customWidth="1"/>
    <col min="2824" max="2824" width="17.85546875" style="38" customWidth="1"/>
    <col min="2825" max="2826" width="1" style="38" customWidth="1"/>
    <col min="2827" max="2845" width="0" style="38" hidden="1" customWidth="1"/>
    <col min="2846" max="2846" width="1" style="38" customWidth="1"/>
    <col min="2847" max="2851" width="0" style="38" hidden="1" customWidth="1"/>
    <col min="2852" max="2853" width="1" style="38" customWidth="1"/>
    <col min="2854" max="2854" width="17.85546875" style="38" customWidth="1"/>
    <col min="2855" max="2856" width="1" style="38" customWidth="1"/>
    <col min="2857" max="2886" width="0" style="38" hidden="1" customWidth="1"/>
    <col min="2887" max="2888" width="1" style="38" customWidth="1"/>
    <col min="2889" max="2889" width="17.85546875" style="38" customWidth="1"/>
    <col min="2890" max="2891" width="1" style="38" customWidth="1"/>
    <col min="2892" max="2892" width="1.5703125" style="38" customWidth="1"/>
    <col min="2893" max="2893" width="0.7109375" style="38" customWidth="1"/>
    <col min="2894" max="2894" width="1.85546875" style="38" customWidth="1"/>
    <col min="2895" max="2895" width="10.7109375" style="38" customWidth="1"/>
    <col min="2896" max="2896" width="0" style="38" hidden="1" customWidth="1"/>
    <col min="2897" max="3002" width="10" style="38"/>
    <col min="3003" max="3003" width="1.5703125" style="38" customWidth="1"/>
    <col min="3004" max="3004" width="1.42578125" style="38" customWidth="1"/>
    <col min="3005" max="3005" width="57.5703125" style="38" customWidth="1"/>
    <col min="3006" max="3006" width="2.7109375" style="38" customWidth="1"/>
    <col min="3007" max="3007" width="0" style="38" hidden="1" customWidth="1"/>
    <col min="3008" max="3009" width="1" style="38" customWidth="1"/>
    <col min="3010" max="3010" width="19.7109375" style="38" customWidth="1"/>
    <col min="3011" max="3012" width="1" style="38" customWidth="1"/>
    <col min="3013" max="3037" width="0" style="38" hidden="1" customWidth="1"/>
    <col min="3038" max="3039" width="1" style="38" customWidth="1"/>
    <col min="3040" max="3040" width="17.85546875" style="38" customWidth="1"/>
    <col min="3041" max="3042" width="1" style="38" customWidth="1"/>
    <col min="3043" max="3072" width="0" style="38" hidden="1" customWidth="1"/>
    <col min="3073" max="3074" width="1" style="38" customWidth="1"/>
    <col min="3075" max="3075" width="17.85546875" style="38" customWidth="1"/>
    <col min="3076" max="3079" width="1" style="38" customWidth="1"/>
    <col min="3080" max="3080" width="17.85546875" style="38" customWidth="1"/>
    <col min="3081" max="3082" width="1" style="38" customWidth="1"/>
    <col min="3083" max="3101" width="0" style="38" hidden="1" customWidth="1"/>
    <col min="3102" max="3102" width="1" style="38" customWidth="1"/>
    <col min="3103" max="3107" width="0" style="38" hidden="1" customWidth="1"/>
    <col min="3108" max="3109" width="1" style="38" customWidth="1"/>
    <col min="3110" max="3110" width="17.85546875" style="38" customWidth="1"/>
    <col min="3111" max="3112" width="1" style="38" customWidth="1"/>
    <col min="3113" max="3142" width="0" style="38" hidden="1" customWidth="1"/>
    <col min="3143" max="3144" width="1" style="38" customWidth="1"/>
    <col min="3145" max="3145" width="17.85546875" style="38" customWidth="1"/>
    <col min="3146" max="3147" width="1" style="38" customWidth="1"/>
    <col min="3148" max="3148" width="1.5703125" style="38" customWidth="1"/>
    <col min="3149" max="3149" width="0.7109375" style="38" customWidth="1"/>
    <col min="3150" max="3150" width="1.85546875" style="38" customWidth="1"/>
    <col min="3151" max="3151" width="10.7109375" style="38" customWidth="1"/>
    <col min="3152" max="3152" width="0" style="38" hidden="1" customWidth="1"/>
    <col min="3153" max="3258" width="10" style="38"/>
    <col min="3259" max="3259" width="1.5703125" style="38" customWidth="1"/>
    <col min="3260" max="3260" width="1.42578125" style="38" customWidth="1"/>
    <col min="3261" max="3261" width="57.5703125" style="38" customWidth="1"/>
    <col min="3262" max="3262" width="2.7109375" style="38" customWidth="1"/>
    <col min="3263" max="3263" width="0" style="38" hidden="1" customWidth="1"/>
    <col min="3264" max="3265" width="1" style="38" customWidth="1"/>
    <col min="3266" max="3266" width="19.7109375" style="38" customWidth="1"/>
    <col min="3267" max="3268" width="1" style="38" customWidth="1"/>
    <col min="3269" max="3293" width="0" style="38" hidden="1" customWidth="1"/>
    <col min="3294" max="3295" width="1" style="38" customWidth="1"/>
    <col min="3296" max="3296" width="17.85546875" style="38" customWidth="1"/>
    <col min="3297" max="3298" width="1" style="38" customWidth="1"/>
    <col min="3299" max="3328" width="0" style="38" hidden="1" customWidth="1"/>
    <col min="3329" max="3330" width="1" style="38" customWidth="1"/>
    <col min="3331" max="3331" width="17.85546875" style="38" customWidth="1"/>
    <col min="3332" max="3335" width="1" style="38" customWidth="1"/>
    <col min="3336" max="3336" width="17.85546875" style="38" customWidth="1"/>
    <col min="3337" max="3338" width="1" style="38" customWidth="1"/>
    <col min="3339" max="3357" width="0" style="38" hidden="1" customWidth="1"/>
    <col min="3358" max="3358" width="1" style="38" customWidth="1"/>
    <col min="3359" max="3363" width="0" style="38" hidden="1" customWidth="1"/>
    <col min="3364" max="3365" width="1" style="38" customWidth="1"/>
    <col min="3366" max="3366" width="17.85546875" style="38" customWidth="1"/>
    <col min="3367" max="3368" width="1" style="38" customWidth="1"/>
    <col min="3369" max="3398" width="0" style="38" hidden="1" customWidth="1"/>
    <col min="3399" max="3400" width="1" style="38" customWidth="1"/>
    <col min="3401" max="3401" width="17.85546875" style="38" customWidth="1"/>
    <col min="3402" max="3403" width="1" style="38" customWidth="1"/>
    <col min="3404" max="3404" width="1.5703125" style="38" customWidth="1"/>
    <col min="3405" max="3405" width="0.7109375" style="38" customWidth="1"/>
    <col min="3406" max="3406" width="1.85546875" style="38" customWidth="1"/>
    <col min="3407" max="3407" width="10.7109375" style="38" customWidth="1"/>
    <col min="3408" max="3408" width="0" style="38" hidden="1" customWidth="1"/>
    <col min="3409" max="3514" width="10" style="38"/>
    <col min="3515" max="3515" width="1.5703125" style="38" customWidth="1"/>
    <col min="3516" max="3516" width="1.42578125" style="38" customWidth="1"/>
    <col min="3517" max="3517" width="57.5703125" style="38" customWidth="1"/>
    <col min="3518" max="3518" width="2.7109375" style="38" customWidth="1"/>
    <col min="3519" max="3519" width="0" style="38" hidden="1" customWidth="1"/>
    <col min="3520" max="3521" width="1" style="38" customWidth="1"/>
    <col min="3522" max="3522" width="19.7109375" style="38" customWidth="1"/>
    <col min="3523" max="3524" width="1" style="38" customWidth="1"/>
    <col min="3525" max="3549" width="0" style="38" hidden="1" customWidth="1"/>
    <col min="3550" max="3551" width="1" style="38" customWidth="1"/>
    <col min="3552" max="3552" width="17.85546875" style="38" customWidth="1"/>
    <col min="3553" max="3554" width="1" style="38" customWidth="1"/>
    <col min="3555" max="3584" width="0" style="38" hidden="1" customWidth="1"/>
    <col min="3585" max="3586" width="1" style="38" customWidth="1"/>
    <col min="3587" max="3587" width="17.85546875" style="38" customWidth="1"/>
    <col min="3588" max="3591" width="1" style="38" customWidth="1"/>
    <col min="3592" max="3592" width="17.85546875" style="38" customWidth="1"/>
    <col min="3593" max="3594" width="1" style="38" customWidth="1"/>
    <col min="3595" max="3613" width="0" style="38" hidden="1" customWidth="1"/>
    <col min="3614" max="3614" width="1" style="38" customWidth="1"/>
    <col min="3615" max="3619" width="0" style="38" hidden="1" customWidth="1"/>
    <col min="3620" max="3621" width="1" style="38" customWidth="1"/>
    <col min="3622" max="3622" width="17.85546875" style="38" customWidth="1"/>
    <col min="3623" max="3624" width="1" style="38" customWidth="1"/>
    <col min="3625" max="3654" width="0" style="38" hidden="1" customWidth="1"/>
    <col min="3655" max="3656" width="1" style="38" customWidth="1"/>
    <col min="3657" max="3657" width="17.85546875" style="38" customWidth="1"/>
    <col min="3658" max="3659" width="1" style="38" customWidth="1"/>
    <col min="3660" max="3660" width="1.5703125" style="38" customWidth="1"/>
    <col min="3661" max="3661" width="0.7109375" style="38" customWidth="1"/>
    <col min="3662" max="3662" width="1.85546875" style="38" customWidth="1"/>
    <col min="3663" max="3663" width="10.7109375" style="38" customWidth="1"/>
    <col min="3664" max="3664" width="0" style="38" hidden="1" customWidth="1"/>
    <col min="3665" max="3770" width="10" style="38"/>
    <col min="3771" max="3771" width="1.5703125" style="38" customWidth="1"/>
    <col min="3772" max="3772" width="1.42578125" style="38" customWidth="1"/>
    <col min="3773" max="3773" width="57.5703125" style="38" customWidth="1"/>
    <col min="3774" max="3774" width="2.7109375" style="38" customWidth="1"/>
    <col min="3775" max="3775" width="0" style="38" hidden="1" customWidth="1"/>
    <col min="3776" max="3777" width="1" style="38" customWidth="1"/>
    <col min="3778" max="3778" width="19.7109375" style="38" customWidth="1"/>
    <col min="3779" max="3780" width="1" style="38" customWidth="1"/>
    <col min="3781" max="3805" width="0" style="38" hidden="1" customWidth="1"/>
    <col min="3806" max="3807" width="1" style="38" customWidth="1"/>
    <col min="3808" max="3808" width="17.85546875" style="38" customWidth="1"/>
    <col min="3809" max="3810" width="1" style="38" customWidth="1"/>
    <col min="3811" max="3840" width="0" style="38" hidden="1" customWidth="1"/>
    <col min="3841" max="3842" width="1" style="38" customWidth="1"/>
    <col min="3843" max="3843" width="17.85546875" style="38" customWidth="1"/>
    <col min="3844" max="3847" width="1" style="38" customWidth="1"/>
    <col min="3848" max="3848" width="17.85546875" style="38" customWidth="1"/>
    <col min="3849" max="3850" width="1" style="38" customWidth="1"/>
    <col min="3851" max="3869" width="0" style="38" hidden="1" customWidth="1"/>
    <col min="3870" max="3870" width="1" style="38" customWidth="1"/>
    <col min="3871" max="3875" width="0" style="38" hidden="1" customWidth="1"/>
    <col min="3876" max="3877" width="1" style="38" customWidth="1"/>
    <col min="3878" max="3878" width="17.85546875" style="38" customWidth="1"/>
    <col min="3879" max="3880" width="1" style="38" customWidth="1"/>
    <col min="3881" max="3910" width="0" style="38" hidden="1" customWidth="1"/>
    <col min="3911" max="3912" width="1" style="38" customWidth="1"/>
    <col min="3913" max="3913" width="17.85546875" style="38" customWidth="1"/>
    <col min="3914" max="3915" width="1" style="38" customWidth="1"/>
    <col min="3916" max="3916" width="1.5703125" style="38" customWidth="1"/>
    <col min="3917" max="3917" width="0.7109375" style="38" customWidth="1"/>
    <col min="3918" max="3918" width="1.85546875" style="38" customWidth="1"/>
    <col min="3919" max="3919" width="10.7109375" style="38" customWidth="1"/>
    <col min="3920" max="3920" width="0" style="38" hidden="1" customWidth="1"/>
    <col min="3921" max="4026" width="10" style="38"/>
    <col min="4027" max="4027" width="1.5703125" style="38" customWidth="1"/>
    <col min="4028" max="4028" width="1.42578125" style="38" customWidth="1"/>
    <col min="4029" max="4029" width="57.5703125" style="38" customWidth="1"/>
    <col min="4030" max="4030" width="2.7109375" style="38" customWidth="1"/>
    <col min="4031" max="4031" width="0" style="38" hidden="1" customWidth="1"/>
    <col min="4032" max="4033" width="1" style="38" customWidth="1"/>
    <col min="4034" max="4034" width="19.7109375" style="38" customWidth="1"/>
    <col min="4035" max="4036" width="1" style="38" customWidth="1"/>
    <col min="4037" max="4061" width="0" style="38" hidden="1" customWidth="1"/>
    <col min="4062" max="4063" width="1" style="38" customWidth="1"/>
    <col min="4064" max="4064" width="17.85546875" style="38" customWidth="1"/>
    <col min="4065" max="4066" width="1" style="38" customWidth="1"/>
    <col min="4067" max="4096" width="0" style="38" hidden="1" customWidth="1"/>
    <col min="4097" max="4098" width="1" style="38" customWidth="1"/>
    <col min="4099" max="4099" width="17.85546875" style="38" customWidth="1"/>
    <col min="4100" max="4103" width="1" style="38" customWidth="1"/>
    <col min="4104" max="4104" width="17.85546875" style="38" customWidth="1"/>
    <col min="4105" max="4106" width="1" style="38" customWidth="1"/>
    <col min="4107" max="4125" width="0" style="38" hidden="1" customWidth="1"/>
    <col min="4126" max="4126" width="1" style="38" customWidth="1"/>
    <col min="4127" max="4131" width="0" style="38" hidden="1" customWidth="1"/>
    <col min="4132" max="4133" width="1" style="38" customWidth="1"/>
    <col min="4134" max="4134" width="17.85546875" style="38" customWidth="1"/>
    <col min="4135" max="4136" width="1" style="38" customWidth="1"/>
    <col min="4137" max="4166" width="0" style="38" hidden="1" customWidth="1"/>
    <col min="4167" max="4168" width="1" style="38" customWidth="1"/>
    <col min="4169" max="4169" width="17.85546875" style="38" customWidth="1"/>
    <col min="4170" max="4171" width="1" style="38" customWidth="1"/>
    <col min="4172" max="4172" width="1.5703125" style="38" customWidth="1"/>
    <col min="4173" max="4173" width="0.7109375" style="38" customWidth="1"/>
    <col min="4174" max="4174" width="1.85546875" style="38" customWidth="1"/>
    <col min="4175" max="4175" width="10.7109375" style="38" customWidth="1"/>
    <col min="4176" max="4176" width="0" style="38" hidden="1" customWidth="1"/>
    <col min="4177" max="4282" width="10" style="38"/>
    <col min="4283" max="4283" width="1.5703125" style="38" customWidth="1"/>
    <col min="4284" max="4284" width="1.42578125" style="38" customWidth="1"/>
    <col min="4285" max="4285" width="57.5703125" style="38" customWidth="1"/>
    <col min="4286" max="4286" width="2.7109375" style="38" customWidth="1"/>
    <col min="4287" max="4287" width="0" style="38" hidden="1" customWidth="1"/>
    <col min="4288" max="4289" width="1" style="38" customWidth="1"/>
    <col min="4290" max="4290" width="19.7109375" style="38" customWidth="1"/>
    <col min="4291" max="4292" width="1" style="38" customWidth="1"/>
    <col min="4293" max="4317" width="0" style="38" hidden="1" customWidth="1"/>
    <col min="4318" max="4319" width="1" style="38" customWidth="1"/>
    <col min="4320" max="4320" width="17.85546875" style="38" customWidth="1"/>
    <col min="4321" max="4322" width="1" style="38" customWidth="1"/>
    <col min="4323" max="4352" width="0" style="38" hidden="1" customWidth="1"/>
    <col min="4353" max="4354" width="1" style="38" customWidth="1"/>
    <col min="4355" max="4355" width="17.85546875" style="38" customWidth="1"/>
    <col min="4356" max="4359" width="1" style="38" customWidth="1"/>
    <col min="4360" max="4360" width="17.85546875" style="38" customWidth="1"/>
    <col min="4361" max="4362" width="1" style="38" customWidth="1"/>
    <col min="4363" max="4381" width="0" style="38" hidden="1" customWidth="1"/>
    <col min="4382" max="4382" width="1" style="38" customWidth="1"/>
    <col min="4383" max="4387" width="0" style="38" hidden="1" customWidth="1"/>
    <col min="4388" max="4389" width="1" style="38" customWidth="1"/>
    <col min="4390" max="4390" width="17.85546875" style="38" customWidth="1"/>
    <col min="4391" max="4392" width="1" style="38" customWidth="1"/>
    <col min="4393" max="4422" width="0" style="38" hidden="1" customWidth="1"/>
    <col min="4423" max="4424" width="1" style="38" customWidth="1"/>
    <col min="4425" max="4425" width="17.85546875" style="38" customWidth="1"/>
    <col min="4426" max="4427" width="1" style="38" customWidth="1"/>
    <col min="4428" max="4428" width="1.5703125" style="38" customWidth="1"/>
    <col min="4429" max="4429" width="0.7109375" style="38" customWidth="1"/>
    <col min="4430" max="4430" width="1.85546875" style="38" customWidth="1"/>
    <col min="4431" max="4431" width="10.7109375" style="38" customWidth="1"/>
    <col min="4432" max="4432" width="0" style="38" hidden="1" customWidth="1"/>
    <col min="4433" max="4538" width="10" style="38"/>
    <col min="4539" max="4539" width="1.5703125" style="38" customWidth="1"/>
    <col min="4540" max="4540" width="1.42578125" style="38" customWidth="1"/>
    <col min="4541" max="4541" width="57.5703125" style="38" customWidth="1"/>
    <col min="4542" max="4542" width="2.7109375" style="38" customWidth="1"/>
    <col min="4543" max="4543" width="0" style="38" hidden="1" customWidth="1"/>
    <col min="4544" max="4545" width="1" style="38" customWidth="1"/>
    <col min="4546" max="4546" width="19.7109375" style="38" customWidth="1"/>
    <col min="4547" max="4548" width="1" style="38" customWidth="1"/>
    <col min="4549" max="4573" width="0" style="38" hidden="1" customWidth="1"/>
    <col min="4574" max="4575" width="1" style="38" customWidth="1"/>
    <col min="4576" max="4576" width="17.85546875" style="38" customWidth="1"/>
    <col min="4577" max="4578" width="1" style="38" customWidth="1"/>
    <col min="4579" max="4608" width="0" style="38" hidden="1" customWidth="1"/>
    <col min="4609" max="4610" width="1" style="38" customWidth="1"/>
    <col min="4611" max="4611" width="17.85546875" style="38" customWidth="1"/>
    <col min="4612" max="4615" width="1" style="38" customWidth="1"/>
    <col min="4616" max="4616" width="17.85546875" style="38" customWidth="1"/>
    <col min="4617" max="4618" width="1" style="38" customWidth="1"/>
    <col min="4619" max="4637" width="0" style="38" hidden="1" customWidth="1"/>
    <col min="4638" max="4638" width="1" style="38" customWidth="1"/>
    <col min="4639" max="4643" width="0" style="38" hidden="1" customWidth="1"/>
    <col min="4644" max="4645" width="1" style="38" customWidth="1"/>
    <col min="4646" max="4646" width="17.85546875" style="38" customWidth="1"/>
    <col min="4647" max="4648" width="1" style="38" customWidth="1"/>
    <col min="4649" max="4678" width="0" style="38" hidden="1" customWidth="1"/>
    <col min="4679" max="4680" width="1" style="38" customWidth="1"/>
    <col min="4681" max="4681" width="17.85546875" style="38" customWidth="1"/>
    <col min="4682" max="4683" width="1" style="38" customWidth="1"/>
    <col min="4684" max="4684" width="1.5703125" style="38" customWidth="1"/>
    <col min="4685" max="4685" width="0.7109375" style="38" customWidth="1"/>
    <col min="4686" max="4686" width="1.85546875" style="38" customWidth="1"/>
    <col min="4687" max="4687" width="10.7109375" style="38" customWidth="1"/>
    <col min="4688" max="4688" width="0" style="38" hidden="1" customWidth="1"/>
    <col min="4689" max="4794" width="10" style="38"/>
    <col min="4795" max="4795" width="1.5703125" style="38" customWidth="1"/>
    <col min="4796" max="4796" width="1.42578125" style="38" customWidth="1"/>
    <col min="4797" max="4797" width="57.5703125" style="38" customWidth="1"/>
    <col min="4798" max="4798" width="2.7109375" style="38" customWidth="1"/>
    <col min="4799" max="4799" width="0" style="38" hidden="1" customWidth="1"/>
    <col min="4800" max="4801" width="1" style="38" customWidth="1"/>
    <col min="4802" max="4802" width="19.7109375" style="38" customWidth="1"/>
    <col min="4803" max="4804" width="1" style="38" customWidth="1"/>
    <col min="4805" max="4829" width="0" style="38" hidden="1" customWidth="1"/>
    <col min="4830" max="4831" width="1" style="38" customWidth="1"/>
    <col min="4832" max="4832" width="17.85546875" style="38" customWidth="1"/>
    <col min="4833" max="4834" width="1" style="38" customWidth="1"/>
    <col min="4835" max="4864" width="0" style="38" hidden="1" customWidth="1"/>
    <col min="4865" max="4866" width="1" style="38" customWidth="1"/>
    <col min="4867" max="4867" width="17.85546875" style="38" customWidth="1"/>
    <col min="4868" max="4871" width="1" style="38" customWidth="1"/>
    <col min="4872" max="4872" width="17.85546875" style="38" customWidth="1"/>
    <col min="4873" max="4874" width="1" style="38" customWidth="1"/>
    <col min="4875" max="4893" width="0" style="38" hidden="1" customWidth="1"/>
    <col min="4894" max="4894" width="1" style="38" customWidth="1"/>
    <col min="4895" max="4899" width="0" style="38" hidden="1" customWidth="1"/>
    <col min="4900" max="4901" width="1" style="38" customWidth="1"/>
    <col min="4902" max="4902" width="17.85546875" style="38" customWidth="1"/>
    <col min="4903" max="4904" width="1" style="38" customWidth="1"/>
    <col min="4905" max="4934" width="0" style="38" hidden="1" customWidth="1"/>
    <col min="4935" max="4936" width="1" style="38" customWidth="1"/>
    <col min="4937" max="4937" width="17.85546875" style="38" customWidth="1"/>
    <col min="4938" max="4939" width="1" style="38" customWidth="1"/>
    <col min="4940" max="4940" width="1.5703125" style="38" customWidth="1"/>
    <col min="4941" max="4941" width="0.7109375" style="38" customWidth="1"/>
    <col min="4942" max="4942" width="1.85546875" style="38" customWidth="1"/>
    <col min="4943" max="4943" width="10.7109375" style="38" customWidth="1"/>
    <col min="4944" max="4944" width="0" style="38" hidden="1" customWidth="1"/>
    <col min="4945" max="5050" width="10" style="38"/>
    <col min="5051" max="5051" width="1.5703125" style="38" customWidth="1"/>
    <col min="5052" max="5052" width="1.42578125" style="38" customWidth="1"/>
    <col min="5053" max="5053" width="57.5703125" style="38" customWidth="1"/>
    <col min="5054" max="5054" width="2.7109375" style="38" customWidth="1"/>
    <col min="5055" max="5055" width="0" style="38" hidden="1" customWidth="1"/>
    <col min="5056" max="5057" width="1" style="38" customWidth="1"/>
    <col min="5058" max="5058" width="19.7109375" style="38" customWidth="1"/>
    <col min="5059" max="5060" width="1" style="38" customWidth="1"/>
    <col min="5061" max="5085" width="0" style="38" hidden="1" customWidth="1"/>
    <col min="5086" max="5087" width="1" style="38" customWidth="1"/>
    <col min="5088" max="5088" width="17.85546875" style="38" customWidth="1"/>
    <col min="5089" max="5090" width="1" style="38" customWidth="1"/>
    <col min="5091" max="5120" width="0" style="38" hidden="1" customWidth="1"/>
    <col min="5121" max="5122" width="1" style="38" customWidth="1"/>
    <col min="5123" max="5123" width="17.85546875" style="38" customWidth="1"/>
    <col min="5124" max="5127" width="1" style="38" customWidth="1"/>
    <col min="5128" max="5128" width="17.85546875" style="38" customWidth="1"/>
    <col min="5129" max="5130" width="1" style="38" customWidth="1"/>
    <col min="5131" max="5149" width="0" style="38" hidden="1" customWidth="1"/>
    <col min="5150" max="5150" width="1" style="38" customWidth="1"/>
    <col min="5151" max="5155" width="0" style="38" hidden="1" customWidth="1"/>
    <col min="5156" max="5157" width="1" style="38" customWidth="1"/>
    <col min="5158" max="5158" width="17.85546875" style="38" customWidth="1"/>
    <col min="5159" max="5160" width="1" style="38" customWidth="1"/>
    <col min="5161" max="5190" width="0" style="38" hidden="1" customWidth="1"/>
    <col min="5191" max="5192" width="1" style="38" customWidth="1"/>
    <col min="5193" max="5193" width="17.85546875" style="38" customWidth="1"/>
    <col min="5194" max="5195" width="1" style="38" customWidth="1"/>
    <col min="5196" max="5196" width="1.5703125" style="38" customWidth="1"/>
    <col min="5197" max="5197" width="0.7109375" style="38" customWidth="1"/>
    <col min="5198" max="5198" width="1.85546875" style="38" customWidth="1"/>
    <col min="5199" max="5199" width="10.7109375" style="38" customWidth="1"/>
    <col min="5200" max="5200" width="0" style="38" hidden="1" customWidth="1"/>
    <col min="5201" max="5306" width="10" style="38"/>
    <col min="5307" max="5307" width="1.5703125" style="38" customWidth="1"/>
    <col min="5308" max="5308" width="1.42578125" style="38" customWidth="1"/>
    <col min="5309" max="5309" width="57.5703125" style="38" customWidth="1"/>
    <col min="5310" max="5310" width="2.7109375" style="38" customWidth="1"/>
    <col min="5311" max="5311" width="0" style="38" hidden="1" customWidth="1"/>
    <col min="5312" max="5313" width="1" style="38" customWidth="1"/>
    <col min="5314" max="5314" width="19.7109375" style="38" customWidth="1"/>
    <col min="5315" max="5316" width="1" style="38" customWidth="1"/>
    <col min="5317" max="5341" width="0" style="38" hidden="1" customWidth="1"/>
    <col min="5342" max="5343" width="1" style="38" customWidth="1"/>
    <col min="5344" max="5344" width="17.85546875" style="38" customWidth="1"/>
    <col min="5345" max="5346" width="1" style="38" customWidth="1"/>
    <col min="5347" max="5376" width="0" style="38" hidden="1" customWidth="1"/>
    <col min="5377" max="5378" width="1" style="38" customWidth="1"/>
    <col min="5379" max="5379" width="17.85546875" style="38" customWidth="1"/>
    <col min="5380" max="5383" width="1" style="38" customWidth="1"/>
    <col min="5384" max="5384" width="17.85546875" style="38" customWidth="1"/>
    <col min="5385" max="5386" width="1" style="38" customWidth="1"/>
    <col min="5387" max="5405" width="0" style="38" hidden="1" customWidth="1"/>
    <col min="5406" max="5406" width="1" style="38" customWidth="1"/>
    <col min="5407" max="5411" width="0" style="38" hidden="1" customWidth="1"/>
    <col min="5412" max="5413" width="1" style="38" customWidth="1"/>
    <col min="5414" max="5414" width="17.85546875" style="38" customWidth="1"/>
    <col min="5415" max="5416" width="1" style="38" customWidth="1"/>
    <col min="5417" max="5446" width="0" style="38" hidden="1" customWidth="1"/>
    <col min="5447" max="5448" width="1" style="38" customWidth="1"/>
    <col min="5449" max="5449" width="17.85546875" style="38" customWidth="1"/>
    <col min="5450" max="5451" width="1" style="38" customWidth="1"/>
    <col min="5452" max="5452" width="1.5703125" style="38" customWidth="1"/>
    <col min="5453" max="5453" width="0.7109375" style="38" customWidth="1"/>
    <col min="5454" max="5454" width="1.85546875" style="38" customWidth="1"/>
    <col min="5455" max="5455" width="10.7109375" style="38" customWidth="1"/>
    <col min="5456" max="5456" width="0" style="38" hidden="1" customWidth="1"/>
    <col min="5457" max="5562" width="10" style="38"/>
    <col min="5563" max="5563" width="1.5703125" style="38" customWidth="1"/>
    <col min="5564" max="5564" width="1.42578125" style="38" customWidth="1"/>
    <col min="5565" max="5565" width="57.5703125" style="38" customWidth="1"/>
    <col min="5566" max="5566" width="2.7109375" style="38" customWidth="1"/>
    <col min="5567" max="5567" width="0" style="38" hidden="1" customWidth="1"/>
    <col min="5568" max="5569" width="1" style="38" customWidth="1"/>
    <col min="5570" max="5570" width="19.7109375" style="38" customWidth="1"/>
    <col min="5571" max="5572" width="1" style="38" customWidth="1"/>
    <col min="5573" max="5597" width="0" style="38" hidden="1" customWidth="1"/>
    <col min="5598" max="5599" width="1" style="38" customWidth="1"/>
    <col min="5600" max="5600" width="17.85546875" style="38" customWidth="1"/>
    <col min="5601" max="5602" width="1" style="38" customWidth="1"/>
    <col min="5603" max="5632" width="0" style="38" hidden="1" customWidth="1"/>
    <col min="5633" max="5634" width="1" style="38" customWidth="1"/>
    <col min="5635" max="5635" width="17.85546875" style="38" customWidth="1"/>
    <col min="5636" max="5639" width="1" style="38" customWidth="1"/>
    <col min="5640" max="5640" width="17.85546875" style="38" customWidth="1"/>
    <col min="5641" max="5642" width="1" style="38" customWidth="1"/>
    <col min="5643" max="5661" width="0" style="38" hidden="1" customWidth="1"/>
    <col min="5662" max="5662" width="1" style="38" customWidth="1"/>
    <col min="5663" max="5667" width="0" style="38" hidden="1" customWidth="1"/>
    <col min="5668" max="5669" width="1" style="38" customWidth="1"/>
    <col min="5670" max="5670" width="17.85546875" style="38" customWidth="1"/>
    <col min="5671" max="5672" width="1" style="38" customWidth="1"/>
    <col min="5673" max="5702" width="0" style="38" hidden="1" customWidth="1"/>
    <col min="5703" max="5704" width="1" style="38" customWidth="1"/>
    <col min="5705" max="5705" width="17.85546875" style="38" customWidth="1"/>
    <col min="5706" max="5707" width="1" style="38" customWidth="1"/>
    <col min="5708" max="5708" width="1.5703125" style="38" customWidth="1"/>
    <col min="5709" max="5709" width="0.7109375" style="38" customWidth="1"/>
    <col min="5710" max="5710" width="1.85546875" style="38" customWidth="1"/>
    <col min="5711" max="5711" width="10.7109375" style="38" customWidth="1"/>
    <col min="5712" max="5712" width="0" style="38" hidden="1" customWidth="1"/>
    <col min="5713" max="5818" width="10" style="38"/>
    <col min="5819" max="5819" width="1.5703125" style="38" customWidth="1"/>
    <col min="5820" max="5820" width="1.42578125" style="38" customWidth="1"/>
    <col min="5821" max="5821" width="57.5703125" style="38" customWidth="1"/>
    <col min="5822" max="5822" width="2.7109375" style="38" customWidth="1"/>
    <col min="5823" max="5823" width="0" style="38" hidden="1" customWidth="1"/>
    <col min="5824" max="5825" width="1" style="38" customWidth="1"/>
    <col min="5826" max="5826" width="19.7109375" style="38" customWidth="1"/>
    <col min="5827" max="5828" width="1" style="38" customWidth="1"/>
    <col min="5829" max="5853" width="0" style="38" hidden="1" customWidth="1"/>
    <col min="5854" max="5855" width="1" style="38" customWidth="1"/>
    <col min="5856" max="5856" width="17.85546875" style="38" customWidth="1"/>
    <col min="5857" max="5858" width="1" style="38" customWidth="1"/>
    <col min="5859" max="5888" width="0" style="38" hidden="1" customWidth="1"/>
    <col min="5889" max="5890" width="1" style="38" customWidth="1"/>
    <col min="5891" max="5891" width="17.85546875" style="38" customWidth="1"/>
    <col min="5892" max="5895" width="1" style="38" customWidth="1"/>
    <col min="5896" max="5896" width="17.85546875" style="38" customWidth="1"/>
    <col min="5897" max="5898" width="1" style="38" customWidth="1"/>
    <col min="5899" max="5917" width="0" style="38" hidden="1" customWidth="1"/>
    <col min="5918" max="5918" width="1" style="38" customWidth="1"/>
    <col min="5919" max="5923" width="0" style="38" hidden="1" customWidth="1"/>
    <col min="5924" max="5925" width="1" style="38" customWidth="1"/>
    <col min="5926" max="5926" width="17.85546875" style="38" customWidth="1"/>
    <col min="5927" max="5928" width="1" style="38" customWidth="1"/>
    <col min="5929" max="5958" width="0" style="38" hidden="1" customWidth="1"/>
    <col min="5959" max="5960" width="1" style="38" customWidth="1"/>
    <col min="5961" max="5961" width="17.85546875" style="38" customWidth="1"/>
    <col min="5962" max="5963" width="1" style="38" customWidth="1"/>
    <col min="5964" max="5964" width="1.5703125" style="38" customWidth="1"/>
    <col min="5965" max="5965" width="0.7109375" style="38" customWidth="1"/>
    <col min="5966" max="5966" width="1.85546875" style="38" customWidth="1"/>
    <col min="5967" max="5967" width="10.7109375" style="38" customWidth="1"/>
    <col min="5968" max="5968" width="0" style="38" hidden="1" customWidth="1"/>
    <col min="5969" max="6074" width="10" style="38"/>
    <col min="6075" max="6075" width="1.5703125" style="38" customWidth="1"/>
    <col min="6076" max="6076" width="1.42578125" style="38" customWidth="1"/>
    <col min="6077" max="6077" width="57.5703125" style="38" customWidth="1"/>
    <col min="6078" max="6078" width="2.7109375" style="38" customWidth="1"/>
    <col min="6079" max="6079" width="0" style="38" hidden="1" customWidth="1"/>
    <col min="6080" max="6081" width="1" style="38" customWidth="1"/>
    <col min="6082" max="6082" width="19.7109375" style="38" customWidth="1"/>
    <col min="6083" max="6084" width="1" style="38" customWidth="1"/>
    <col min="6085" max="6109" width="0" style="38" hidden="1" customWidth="1"/>
    <col min="6110" max="6111" width="1" style="38" customWidth="1"/>
    <col min="6112" max="6112" width="17.85546875" style="38" customWidth="1"/>
    <col min="6113" max="6114" width="1" style="38" customWidth="1"/>
    <col min="6115" max="6144" width="0" style="38" hidden="1" customWidth="1"/>
    <col min="6145" max="6146" width="1" style="38" customWidth="1"/>
    <col min="6147" max="6147" width="17.85546875" style="38" customWidth="1"/>
    <col min="6148" max="6151" width="1" style="38" customWidth="1"/>
    <col min="6152" max="6152" width="17.85546875" style="38" customWidth="1"/>
    <col min="6153" max="6154" width="1" style="38" customWidth="1"/>
    <col min="6155" max="6173" width="0" style="38" hidden="1" customWidth="1"/>
    <col min="6174" max="6174" width="1" style="38" customWidth="1"/>
    <col min="6175" max="6179" width="0" style="38" hidden="1" customWidth="1"/>
    <col min="6180" max="6181" width="1" style="38" customWidth="1"/>
    <col min="6182" max="6182" width="17.85546875" style="38" customWidth="1"/>
    <col min="6183" max="6184" width="1" style="38" customWidth="1"/>
    <col min="6185" max="6214" width="0" style="38" hidden="1" customWidth="1"/>
    <col min="6215" max="6216" width="1" style="38" customWidth="1"/>
    <col min="6217" max="6217" width="17.85546875" style="38" customWidth="1"/>
    <col min="6218" max="6219" width="1" style="38" customWidth="1"/>
    <col min="6220" max="6220" width="1.5703125" style="38" customWidth="1"/>
    <col min="6221" max="6221" width="0.7109375" style="38" customWidth="1"/>
    <col min="6222" max="6222" width="1.85546875" style="38" customWidth="1"/>
    <col min="6223" max="6223" width="10.7109375" style="38" customWidth="1"/>
    <col min="6224" max="6224" width="0" style="38" hidden="1" customWidth="1"/>
    <col min="6225" max="6330" width="10" style="38"/>
    <col min="6331" max="6331" width="1.5703125" style="38" customWidth="1"/>
    <col min="6332" max="6332" width="1.42578125" style="38" customWidth="1"/>
    <col min="6333" max="6333" width="57.5703125" style="38" customWidth="1"/>
    <col min="6334" max="6334" width="2.7109375" style="38" customWidth="1"/>
    <col min="6335" max="6335" width="0" style="38" hidden="1" customWidth="1"/>
    <col min="6336" max="6337" width="1" style="38" customWidth="1"/>
    <col min="6338" max="6338" width="19.7109375" style="38" customWidth="1"/>
    <col min="6339" max="6340" width="1" style="38" customWidth="1"/>
    <col min="6341" max="6365" width="0" style="38" hidden="1" customWidth="1"/>
    <col min="6366" max="6367" width="1" style="38" customWidth="1"/>
    <col min="6368" max="6368" width="17.85546875" style="38" customWidth="1"/>
    <col min="6369" max="6370" width="1" style="38" customWidth="1"/>
    <col min="6371" max="6400" width="0" style="38" hidden="1" customWidth="1"/>
    <col min="6401" max="6402" width="1" style="38" customWidth="1"/>
    <col min="6403" max="6403" width="17.85546875" style="38" customWidth="1"/>
    <col min="6404" max="6407" width="1" style="38" customWidth="1"/>
    <col min="6408" max="6408" width="17.85546875" style="38" customWidth="1"/>
    <col min="6409" max="6410" width="1" style="38" customWidth="1"/>
    <col min="6411" max="6429" width="0" style="38" hidden="1" customWidth="1"/>
    <col min="6430" max="6430" width="1" style="38" customWidth="1"/>
    <col min="6431" max="6435" width="0" style="38" hidden="1" customWidth="1"/>
    <col min="6436" max="6437" width="1" style="38" customWidth="1"/>
    <col min="6438" max="6438" width="17.85546875" style="38" customWidth="1"/>
    <col min="6439" max="6440" width="1" style="38" customWidth="1"/>
    <col min="6441" max="6470" width="0" style="38" hidden="1" customWidth="1"/>
    <col min="6471" max="6472" width="1" style="38" customWidth="1"/>
    <col min="6473" max="6473" width="17.85546875" style="38" customWidth="1"/>
    <col min="6474" max="6475" width="1" style="38" customWidth="1"/>
    <col min="6476" max="6476" width="1.5703125" style="38" customWidth="1"/>
    <col min="6477" max="6477" width="0.7109375" style="38" customWidth="1"/>
    <col min="6478" max="6478" width="1.85546875" style="38" customWidth="1"/>
    <col min="6479" max="6479" width="10.7109375" style="38" customWidth="1"/>
    <col min="6480" max="6480" width="0" style="38" hidden="1" customWidth="1"/>
    <col min="6481" max="6586" width="10" style="38"/>
    <col min="6587" max="6587" width="1.5703125" style="38" customWidth="1"/>
    <col min="6588" max="6588" width="1.42578125" style="38" customWidth="1"/>
    <col min="6589" max="6589" width="57.5703125" style="38" customWidth="1"/>
    <col min="6590" max="6590" width="2.7109375" style="38" customWidth="1"/>
    <col min="6591" max="6591" width="0" style="38" hidden="1" customWidth="1"/>
    <col min="6592" max="6593" width="1" style="38" customWidth="1"/>
    <col min="6594" max="6594" width="19.7109375" style="38" customWidth="1"/>
    <col min="6595" max="6596" width="1" style="38" customWidth="1"/>
    <col min="6597" max="6621" width="0" style="38" hidden="1" customWidth="1"/>
    <col min="6622" max="6623" width="1" style="38" customWidth="1"/>
    <col min="6624" max="6624" width="17.85546875" style="38" customWidth="1"/>
    <col min="6625" max="6626" width="1" style="38" customWidth="1"/>
    <col min="6627" max="6656" width="0" style="38" hidden="1" customWidth="1"/>
    <col min="6657" max="6658" width="1" style="38" customWidth="1"/>
    <col min="6659" max="6659" width="17.85546875" style="38" customWidth="1"/>
    <col min="6660" max="6663" width="1" style="38" customWidth="1"/>
    <col min="6664" max="6664" width="17.85546875" style="38" customWidth="1"/>
    <col min="6665" max="6666" width="1" style="38" customWidth="1"/>
    <col min="6667" max="6685" width="0" style="38" hidden="1" customWidth="1"/>
    <col min="6686" max="6686" width="1" style="38" customWidth="1"/>
    <col min="6687" max="6691" width="0" style="38" hidden="1" customWidth="1"/>
    <col min="6692" max="6693" width="1" style="38" customWidth="1"/>
    <col min="6694" max="6694" width="17.85546875" style="38" customWidth="1"/>
    <col min="6695" max="6696" width="1" style="38" customWidth="1"/>
    <col min="6697" max="6726" width="0" style="38" hidden="1" customWidth="1"/>
    <col min="6727" max="6728" width="1" style="38" customWidth="1"/>
    <col min="6729" max="6729" width="17.85546875" style="38" customWidth="1"/>
    <col min="6730" max="6731" width="1" style="38" customWidth="1"/>
    <col min="6732" max="6732" width="1.5703125" style="38" customWidth="1"/>
    <col min="6733" max="6733" width="0.7109375" style="38" customWidth="1"/>
    <col min="6734" max="6734" width="1.85546875" style="38" customWidth="1"/>
    <col min="6735" max="6735" width="10.7109375" style="38" customWidth="1"/>
    <col min="6736" max="6736" width="0" style="38" hidden="1" customWidth="1"/>
    <col min="6737" max="6842" width="10" style="38"/>
    <col min="6843" max="6843" width="1.5703125" style="38" customWidth="1"/>
    <col min="6844" max="6844" width="1.42578125" style="38" customWidth="1"/>
    <col min="6845" max="6845" width="57.5703125" style="38" customWidth="1"/>
    <col min="6846" max="6846" width="2.7109375" style="38" customWidth="1"/>
    <col min="6847" max="6847" width="0" style="38" hidden="1" customWidth="1"/>
    <col min="6848" max="6849" width="1" style="38" customWidth="1"/>
    <col min="6850" max="6850" width="19.7109375" style="38" customWidth="1"/>
    <col min="6851" max="6852" width="1" style="38" customWidth="1"/>
    <col min="6853" max="6877" width="0" style="38" hidden="1" customWidth="1"/>
    <col min="6878" max="6879" width="1" style="38" customWidth="1"/>
    <col min="6880" max="6880" width="17.85546875" style="38" customWidth="1"/>
    <col min="6881" max="6882" width="1" style="38" customWidth="1"/>
    <col min="6883" max="6912" width="0" style="38" hidden="1" customWidth="1"/>
    <col min="6913" max="6914" width="1" style="38" customWidth="1"/>
    <col min="6915" max="6915" width="17.85546875" style="38" customWidth="1"/>
    <col min="6916" max="6919" width="1" style="38" customWidth="1"/>
    <col min="6920" max="6920" width="17.85546875" style="38" customWidth="1"/>
    <col min="6921" max="6922" width="1" style="38" customWidth="1"/>
    <col min="6923" max="6941" width="0" style="38" hidden="1" customWidth="1"/>
    <col min="6942" max="6942" width="1" style="38" customWidth="1"/>
    <col min="6943" max="6947" width="0" style="38" hidden="1" customWidth="1"/>
    <col min="6948" max="6949" width="1" style="38" customWidth="1"/>
    <col min="6950" max="6950" width="17.85546875" style="38" customWidth="1"/>
    <col min="6951" max="6952" width="1" style="38" customWidth="1"/>
    <col min="6953" max="6982" width="0" style="38" hidden="1" customWidth="1"/>
    <col min="6983" max="6984" width="1" style="38" customWidth="1"/>
    <col min="6985" max="6985" width="17.85546875" style="38" customWidth="1"/>
    <col min="6986" max="6987" width="1" style="38" customWidth="1"/>
    <col min="6988" max="6988" width="1.5703125" style="38" customWidth="1"/>
    <col min="6989" max="6989" width="0.7109375" style="38" customWidth="1"/>
    <col min="6990" max="6990" width="1.85546875" style="38" customWidth="1"/>
    <col min="6991" max="6991" width="10.7109375" style="38" customWidth="1"/>
    <col min="6992" max="6992" width="0" style="38" hidden="1" customWidth="1"/>
    <col min="6993" max="7098" width="10" style="38"/>
    <col min="7099" max="7099" width="1.5703125" style="38" customWidth="1"/>
    <col min="7100" max="7100" width="1.42578125" style="38" customWidth="1"/>
    <col min="7101" max="7101" width="57.5703125" style="38" customWidth="1"/>
    <col min="7102" max="7102" width="2.7109375" style="38" customWidth="1"/>
    <col min="7103" max="7103" width="0" style="38" hidden="1" customWidth="1"/>
    <col min="7104" max="7105" width="1" style="38" customWidth="1"/>
    <col min="7106" max="7106" width="19.7109375" style="38" customWidth="1"/>
    <col min="7107" max="7108" width="1" style="38" customWidth="1"/>
    <col min="7109" max="7133" width="0" style="38" hidden="1" customWidth="1"/>
    <col min="7134" max="7135" width="1" style="38" customWidth="1"/>
    <col min="7136" max="7136" width="17.85546875" style="38" customWidth="1"/>
    <col min="7137" max="7138" width="1" style="38" customWidth="1"/>
    <col min="7139" max="7168" width="0" style="38" hidden="1" customWidth="1"/>
    <col min="7169" max="7170" width="1" style="38" customWidth="1"/>
    <col min="7171" max="7171" width="17.85546875" style="38" customWidth="1"/>
    <col min="7172" max="7175" width="1" style="38" customWidth="1"/>
    <col min="7176" max="7176" width="17.85546875" style="38" customWidth="1"/>
    <col min="7177" max="7178" width="1" style="38" customWidth="1"/>
    <col min="7179" max="7197" width="0" style="38" hidden="1" customWidth="1"/>
    <col min="7198" max="7198" width="1" style="38" customWidth="1"/>
    <col min="7199" max="7203" width="0" style="38" hidden="1" customWidth="1"/>
    <col min="7204" max="7205" width="1" style="38" customWidth="1"/>
    <col min="7206" max="7206" width="17.85546875" style="38" customWidth="1"/>
    <col min="7207" max="7208" width="1" style="38" customWidth="1"/>
    <col min="7209" max="7238" width="0" style="38" hidden="1" customWidth="1"/>
    <col min="7239" max="7240" width="1" style="38" customWidth="1"/>
    <col min="7241" max="7241" width="17.85546875" style="38" customWidth="1"/>
    <col min="7242" max="7243" width="1" style="38" customWidth="1"/>
    <col min="7244" max="7244" width="1.5703125" style="38" customWidth="1"/>
    <col min="7245" max="7245" width="0.7109375" style="38" customWidth="1"/>
    <col min="7246" max="7246" width="1.85546875" style="38" customWidth="1"/>
    <col min="7247" max="7247" width="10.7109375" style="38" customWidth="1"/>
    <col min="7248" max="7248" width="0" style="38" hidden="1" customWidth="1"/>
    <col min="7249" max="7354" width="10" style="38"/>
    <col min="7355" max="7355" width="1.5703125" style="38" customWidth="1"/>
    <col min="7356" max="7356" width="1.42578125" style="38" customWidth="1"/>
    <col min="7357" max="7357" width="57.5703125" style="38" customWidth="1"/>
    <col min="7358" max="7358" width="2.7109375" style="38" customWidth="1"/>
    <col min="7359" max="7359" width="0" style="38" hidden="1" customWidth="1"/>
    <col min="7360" max="7361" width="1" style="38" customWidth="1"/>
    <col min="7362" max="7362" width="19.7109375" style="38" customWidth="1"/>
    <col min="7363" max="7364" width="1" style="38" customWidth="1"/>
    <col min="7365" max="7389" width="0" style="38" hidden="1" customWidth="1"/>
    <col min="7390" max="7391" width="1" style="38" customWidth="1"/>
    <col min="7392" max="7392" width="17.85546875" style="38" customWidth="1"/>
    <col min="7393" max="7394" width="1" style="38" customWidth="1"/>
    <col min="7395" max="7424" width="0" style="38" hidden="1" customWidth="1"/>
    <col min="7425" max="7426" width="1" style="38" customWidth="1"/>
    <col min="7427" max="7427" width="17.85546875" style="38" customWidth="1"/>
    <col min="7428" max="7431" width="1" style="38" customWidth="1"/>
    <col min="7432" max="7432" width="17.85546875" style="38" customWidth="1"/>
    <col min="7433" max="7434" width="1" style="38" customWidth="1"/>
    <col min="7435" max="7453" width="0" style="38" hidden="1" customWidth="1"/>
    <col min="7454" max="7454" width="1" style="38" customWidth="1"/>
    <col min="7455" max="7459" width="0" style="38" hidden="1" customWidth="1"/>
    <col min="7460" max="7461" width="1" style="38" customWidth="1"/>
    <col min="7462" max="7462" width="17.85546875" style="38" customWidth="1"/>
    <col min="7463" max="7464" width="1" style="38" customWidth="1"/>
    <col min="7465" max="7494" width="0" style="38" hidden="1" customWidth="1"/>
    <col min="7495" max="7496" width="1" style="38" customWidth="1"/>
    <col min="7497" max="7497" width="17.85546875" style="38" customWidth="1"/>
    <col min="7498" max="7499" width="1" style="38" customWidth="1"/>
    <col min="7500" max="7500" width="1.5703125" style="38" customWidth="1"/>
    <col min="7501" max="7501" width="0.7109375" style="38" customWidth="1"/>
    <col min="7502" max="7502" width="1.85546875" style="38" customWidth="1"/>
    <col min="7503" max="7503" width="10.7109375" style="38" customWidth="1"/>
    <col min="7504" max="7504" width="0" style="38" hidden="1" customWidth="1"/>
    <col min="7505" max="7610" width="10" style="38"/>
    <col min="7611" max="7611" width="1.5703125" style="38" customWidth="1"/>
    <col min="7612" max="7612" width="1.42578125" style="38" customWidth="1"/>
    <col min="7613" max="7613" width="57.5703125" style="38" customWidth="1"/>
    <col min="7614" max="7614" width="2.7109375" style="38" customWidth="1"/>
    <col min="7615" max="7615" width="0" style="38" hidden="1" customWidth="1"/>
    <col min="7616" max="7617" width="1" style="38" customWidth="1"/>
    <col min="7618" max="7618" width="19.7109375" style="38" customWidth="1"/>
    <col min="7619" max="7620" width="1" style="38" customWidth="1"/>
    <col min="7621" max="7645" width="0" style="38" hidden="1" customWidth="1"/>
    <col min="7646" max="7647" width="1" style="38" customWidth="1"/>
    <col min="7648" max="7648" width="17.85546875" style="38" customWidth="1"/>
    <col min="7649" max="7650" width="1" style="38" customWidth="1"/>
    <col min="7651" max="7680" width="0" style="38" hidden="1" customWidth="1"/>
    <col min="7681" max="7682" width="1" style="38" customWidth="1"/>
    <col min="7683" max="7683" width="17.85546875" style="38" customWidth="1"/>
    <col min="7684" max="7687" width="1" style="38" customWidth="1"/>
    <col min="7688" max="7688" width="17.85546875" style="38" customWidth="1"/>
    <col min="7689" max="7690" width="1" style="38" customWidth="1"/>
    <col min="7691" max="7709" width="0" style="38" hidden="1" customWidth="1"/>
    <col min="7710" max="7710" width="1" style="38" customWidth="1"/>
    <col min="7711" max="7715" width="0" style="38" hidden="1" customWidth="1"/>
    <col min="7716" max="7717" width="1" style="38" customWidth="1"/>
    <col min="7718" max="7718" width="17.85546875" style="38" customWidth="1"/>
    <col min="7719" max="7720" width="1" style="38" customWidth="1"/>
    <col min="7721" max="7750" width="0" style="38" hidden="1" customWidth="1"/>
    <col min="7751" max="7752" width="1" style="38" customWidth="1"/>
    <col min="7753" max="7753" width="17.85546875" style="38" customWidth="1"/>
    <col min="7754" max="7755" width="1" style="38" customWidth="1"/>
    <col min="7756" max="7756" width="1.5703125" style="38" customWidth="1"/>
    <col min="7757" max="7757" width="0.7109375" style="38" customWidth="1"/>
    <col min="7758" max="7758" width="1.85546875" style="38" customWidth="1"/>
    <col min="7759" max="7759" width="10.7109375" style="38" customWidth="1"/>
    <col min="7760" max="7760" width="0" style="38" hidden="1" customWidth="1"/>
    <col min="7761" max="7866" width="10" style="38"/>
    <col min="7867" max="7867" width="1.5703125" style="38" customWidth="1"/>
    <col min="7868" max="7868" width="1.42578125" style="38" customWidth="1"/>
    <col min="7869" max="7869" width="57.5703125" style="38" customWidth="1"/>
    <col min="7870" max="7870" width="2.7109375" style="38" customWidth="1"/>
    <col min="7871" max="7871" width="0" style="38" hidden="1" customWidth="1"/>
    <col min="7872" max="7873" width="1" style="38" customWidth="1"/>
    <col min="7874" max="7874" width="19.7109375" style="38" customWidth="1"/>
    <col min="7875" max="7876" width="1" style="38" customWidth="1"/>
    <col min="7877" max="7901" width="0" style="38" hidden="1" customWidth="1"/>
    <col min="7902" max="7903" width="1" style="38" customWidth="1"/>
    <col min="7904" max="7904" width="17.85546875" style="38" customWidth="1"/>
    <col min="7905" max="7906" width="1" style="38" customWidth="1"/>
    <col min="7907" max="7936" width="0" style="38" hidden="1" customWidth="1"/>
    <col min="7937" max="7938" width="1" style="38" customWidth="1"/>
    <col min="7939" max="7939" width="17.85546875" style="38" customWidth="1"/>
    <col min="7940" max="7943" width="1" style="38" customWidth="1"/>
    <col min="7944" max="7944" width="17.85546875" style="38" customWidth="1"/>
    <col min="7945" max="7946" width="1" style="38" customWidth="1"/>
    <col min="7947" max="7965" width="0" style="38" hidden="1" customWidth="1"/>
    <col min="7966" max="7966" width="1" style="38" customWidth="1"/>
    <col min="7967" max="7971" width="0" style="38" hidden="1" customWidth="1"/>
    <col min="7972" max="7973" width="1" style="38" customWidth="1"/>
    <col min="7974" max="7974" width="17.85546875" style="38" customWidth="1"/>
    <col min="7975" max="7976" width="1" style="38" customWidth="1"/>
    <col min="7977" max="8006" width="0" style="38" hidden="1" customWidth="1"/>
    <col min="8007" max="8008" width="1" style="38" customWidth="1"/>
    <col min="8009" max="8009" width="17.85546875" style="38" customWidth="1"/>
    <col min="8010" max="8011" width="1" style="38" customWidth="1"/>
    <col min="8012" max="8012" width="1.5703125" style="38" customWidth="1"/>
    <col min="8013" max="8013" width="0.7109375" style="38" customWidth="1"/>
    <col min="8014" max="8014" width="1.85546875" style="38" customWidth="1"/>
    <col min="8015" max="8015" width="10.7109375" style="38" customWidth="1"/>
    <col min="8016" max="8016" width="0" style="38" hidden="1" customWidth="1"/>
    <col min="8017" max="8122" width="10" style="38"/>
    <col min="8123" max="8123" width="1.5703125" style="38" customWidth="1"/>
    <col min="8124" max="8124" width="1.42578125" style="38" customWidth="1"/>
    <col min="8125" max="8125" width="57.5703125" style="38" customWidth="1"/>
    <col min="8126" max="8126" width="2.7109375" style="38" customWidth="1"/>
    <col min="8127" max="8127" width="0" style="38" hidden="1" customWidth="1"/>
    <col min="8128" max="8129" width="1" style="38" customWidth="1"/>
    <col min="8130" max="8130" width="19.7109375" style="38" customWidth="1"/>
    <col min="8131" max="8132" width="1" style="38" customWidth="1"/>
    <col min="8133" max="8157" width="0" style="38" hidden="1" customWidth="1"/>
    <col min="8158" max="8159" width="1" style="38" customWidth="1"/>
    <col min="8160" max="8160" width="17.85546875" style="38" customWidth="1"/>
    <col min="8161" max="8162" width="1" style="38" customWidth="1"/>
    <col min="8163" max="8192" width="0" style="38" hidden="1" customWidth="1"/>
    <col min="8193" max="8194" width="1" style="38" customWidth="1"/>
    <col min="8195" max="8195" width="17.85546875" style="38" customWidth="1"/>
    <col min="8196" max="8199" width="1" style="38" customWidth="1"/>
    <col min="8200" max="8200" width="17.85546875" style="38" customWidth="1"/>
    <col min="8201" max="8202" width="1" style="38" customWidth="1"/>
    <col min="8203" max="8221" width="0" style="38" hidden="1" customWidth="1"/>
    <col min="8222" max="8222" width="1" style="38" customWidth="1"/>
    <col min="8223" max="8227" width="0" style="38" hidden="1" customWidth="1"/>
    <col min="8228" max="8229" width="1" style="38" customWidth="1"/>
    <col min="8230" max="8230" width="17.85546875" style="38" customWidth="1"/>
    <col min="8231" max="8232" width="1" style="38" customWidth="1"/>
    <col min="8233" max="8262" width="0" style="38" hidden="1" customWidth="1"/>
    <col min="8263" max="8264" width="1" style="38" customWidth="1"/>
    <col min="8265" max="8265" width="17.85546875" style="38" customWidth="1"/>
    <col min="8266" max="8267" width="1" style="38" customWidth="1"/>
    <col min="8268" max="8268" width="1.5703125" style="38" customWidth="1"/>
    <col min="8269" max="8269" width="0.7109375" style="38" customWidth="1"/>
    <col min="8270" max="8270" width="1.85546875" style="38" customWidth="1"/>
    <col min="8271" max="8271" width="10.7109375" style="38" customWidth="1"/>
    <col min="8272" max="8272" width="0" style="38" hidden="1" customWidth="1"/>
    <col min="8273" max="8378" width="10" style="38"/>
    <col min="8379" max="8379" width="1.5703125" style="38" customWidth="1"/>
    <col min="8380" max="8380" width="1.42578125" style="38" customWidth="1"/>
    <col min="8381" max="8381" width="57.5703125" style="38" customWidth="1"/>
    <col min="8382" max="8382" width="2.7109375" style="38" customWidth="1"/>
    <col min="8383" max="8383" width="0" style="38" hidden="1" customWidth="1"/>
    <col min="8384" max="8385" width="1" style="38" customWidth="1"/>
    <col min="8386" max="8386" width="19.7109375" style="38" customWidth="1"/>
    <col min="8387" max="8388" width="1" style="38" customWidth="1"/>
    <col min="8389" max="8413" width="0" style="38" hidden="1" customWidth="1"/>
    <col min="8414" max="8415" width="1" style="38" customWidth="1"/>
    <col min="8416" max="8416" width="17.85546875" style="38" customWidth="1"/>
    <col min="8417" max="8418" width="1" style="38" customWidth="1"/>
    <col min="8419" max="8448" width="0" style="38" hidden="1" customWidth="1"/>
    <col min="8449" max="8450" width="1" style="38" customWidth="1"/>
    <col min="8451" max="8451" width="17.85546875" style="38" customWidth="1"/>
    <col min="8452" max="8455" width="1" style="38" customWidth="1"/>
    <col min="8456" max="8456" width="17.85546875" style="38" customWidth="1"/>
    <col min="8457" max="8458" width="1" style="38" customWidth="1"/>
    <col min="8459" max="8477" width="0" style="38" hidden="1" customWidth="1"/>
    <col min="8478" max="8478" width="1" style="38" customWidth="1"/>
    <col min="8479" max="8483" width="0" style="38" hidden="1" customWidth="1"/>
    <col min="8484" max="8485" width="1" style="38" customWidth="1"/>
    <col min="8486" max="8486" width="17.85546875" style="38" customWidth="1"/>
    <col min="8487" max="8488" width="1" style="38" customWidth="1"/>
    <col min="8489" max="8518" width="0" style="38" hidden="1" customWidth="1"/>
    <col min="8519" max="8520" width="1" style="38" customWidth="1"/>
    <col min="8521" max="8521" width="17.85546875" style="38" customWidth="1"/>
    <col min="8522" max="8523" width="1" style="38" customWidth="1"/>
    <col min="8524" max="8524" width="1.5703125" style="38" customWidth="1"/>
    <col min="8525" max="8525" width="0.7109375" style="38" customWidth="1"/>
    <col min="8526" max="8526" width="1.85546875" style="38" customWidth="1"/>
    <col min="8527" max="8527" width="10.7109375" style="38" customWidth="1"/>
    <col min="8528" max="8528" width="0" style="38" hidden="1" customWidth="1"/>
    <col min="8529" max="8634" width="10" style="38"/>
    <col min="8635" max="8635" width="1.5703125" style="38" customWidth="1"/>
    <col min="8636" max="8636" width="1.42578125" style="38" customWidth="1"/>
    <col min="8637" max="8637" width="57.5703125" style="38" customWidth="1"/>
    <col min="8638" max="8638" width="2.7109375" style="38" customWidth="1"/>
    <col min="8639" max="8639" width="0" style="38" hidden="1" customWidth="1"/>
    <col min="8640" max="8641" width="1" style="38" customWidth="1"/>
    <col min="8642" max="8642" width="19.7109375" style="38" customWidth="1"/>
    <col min="8643" max="8644" width="1" style="38" customWidth="1"/>
    <col min="8645" max="8669" width="0" style="38" hidden="1" customWidth="1"/>
    <col min="8670" max="8671" width="1" style="38" customWidth="1"/>
    <col min="8672" max="8672" width="17.85546875" style="38" customWidth="1"/>
    <col min="8673" max="8674" width="1" style="38" customWidth="1"/>
    <col min="8675" max="8704" width="0" style="38" hidden="1" customWidth="1"/>
    <col min="8705" max="8706" width="1" style="38" customWidth="1"/>
    <col min="8707" max="8707" width="17.85546875" style="38" customWidth="1"/>
    <col min="8708" max="8711" width="1" style="38" customWidth="1"/>
    <col min="8712" max="8712" width="17.85546875" style="38" customWidth="1"/>
    <col min="8713" max="8714" width="1" style="38" customWidth="1"/>
    <col min="8715" max="8733" width="0" style="38" hidden="1" customWidth="1"/>
    <col min="8734" max="8734" width="1" style="38" customWidth="1"/>
    <col min="8735" max="8739" width="0" style="38" hidden="1" customWidth="1"/>
    <col min="8740" max="8741" width="1" style="38" customWidth="1"/>
    <col min="8742" max="8742" width="17.85546875" style="38" customWidth="1"/>
    <col min="8743" max="8744" width="1" style="38" customWidth="1"/>
    <col min="8745" max="8774" width="0" style="38" hidden="1" customWidth="1"/>
    <col min="8775" max="8776" width="1" style="38" customWidth="1"/>
    <col min="8777" max="8777" width="17.85546875" style="38" customWidth="1"/>
    <col min="8778" max="8779" width="1" style="38" customWidth="1"/>
    <col min="8780" max="8780" width="1.5703125" style="38" customWidth="1"/>
    <col min="8781" max="8781" width="0.7109375" style="38" customWidth="1"/>
    <col min="8782" max="8782" width="1.85546875" style="38" customWidth="1"/>
    <col min="8783" max="8783" width="10.7109375" style="38" customWidth="1"/>
    <col min="8784" max="8784" width="0" style="38" hidden="1" customWidth="1"/>
    <col min="8785" max="8890" width="10" style="38"/>
    <col min="8891" max="8891" width="1.5703125" style="38" customWidth="1"/>
    <col min="8892" max="8892" width="1.42578125" style="38" customWidth="1"/>
    <col min="8893" max="8893" width="57.5703125" style="38" customWidth="1"/>
    <col min="8894" max="8894" width="2.7109375" style="38" customWidth="1"/>
    <col min="8895" max="8895" width="0" style="38" hidden="1" customWidth="1"/>
    <col min="8896" max="8897" width="1" style="38" customWidth="1"/>
    <col min="8898" max="8898" width="19.7109375" style="38" customWidth="1"/>
    <col min="8899" max="8900" width="1" style="38" customWidth="1"/>
    <col min="8901" max="8925" width="0" style="38" hidden="1" customWidth="1"/>
    <col min="8926" max="8927" width="1" style="38" customWidth="1"/>
    <col min="8928" max="8928" width="17.85546875" style="38" customWidth="1"/>
    <col min="8929" max="8930" width="1" style="38" customWidth="1"/>
    <col min="8931" max="8960" width="0" style="38" hidden="1" customWidth="1"/>
    <col min="8961" max="8962" width="1" style="38" customWidth="1"/>
    <col min="8963" max="8963" width="17.85546875" style="38" customWidth="1"/>
    <col min="8964" max="8967" width="1" style="38" customWidth="1"/>
    <col min="8968" max="8968" width="17.85546875" style="38" customWidth="1"/>
    <col min="8969" max="8970" width="1" style="38" customWidth="1"/>
    <col min="8971" max="8989" width="0" style="38" hidden="1" customWidth="1"/>
    <col min="8990" max="8990" width="1" style="38" customWidth="1"/>
    <col min="8991" max="8995" width="0" style="38" hidden="1" customWidth="1"/>
    <col min="8996" max="8997" width="1" style="38" customWidth="1"/>
    <col min="8998" max="8998" width="17.85546875" style="38" customWidth="1"/>
    <col min="8999" max="9000" width="1" style="38" customWidth="1"/>
    <col min="9001" max="9030" width="0" style="38" hidden="1" customWidth="1"/>
    <col min="9031" max="9032" width="1" style="38" customWidth="1"/>
    <col min="9033" max="9033" width="17.85546875" style="38" customWidth="1"/>
    <col min="9034" max="9035" width="1" style="38" customWidth="1"/>
    <col min="9036" max="9036" width="1.5703125" style="38" customWidth="1"/>
    <col min="9037" max="9037" width="0.7109375" style="38" customWidth="1"/>
    <col min="9038" max="9038" width="1.85546875" style="38" customWidth="1"/>
    <col min="9039" max="9039" width="10.7109375" style="38" customWidth="1"/>
    <col min="9040" max="9040" width="0" style="38" hidden="1" customWidth="1"/>
    <col min="9041" max="9146" width="10" style="38"/>
    <col min="9147" max="9147" width="1.5703125" style="38" customWidth="1"/>
    <col min="9148" max="9148" width="1.42578125" style="38" customWidth="1"/>
    <col min="9149" max="9149" width="57.5703125" style="38" customWidth="1"/>
    <col min="9150" max="9150" width="2.7109375" style="38" customWidth="1"/>
    <col min="9151" max="9151" width="0" style="38" hidden="1" customWidth="1"/>
    <col min="9152" max="9153" width="1" style="38" customWidth="1"/>
    <col min="9154" max="9154" width="19.7109375" style="38" customWidth="1"/>
    <col min="9155" max="9156" width="1" style="38" customWidth="1"/>
    <col min="9157" max="9181" width="0" style="38" hidden="1" customWidth="1"/>
    <col min="9182" max="9183" width="1" style="38" customWidth="1"/>
    <col min="9184" max="9184" width="17.85546875" style="38" customWidth="1"/>
    <col min="9185" max="9186" width="1" style="38" customWidth="1"/>
    <col min="9187" max="9216" width="0" style="38" hidden="1" customWidth="1"/>
    <col min="9217" max="9218" width="1" style="38" customWidth="1"/>
    <col min="9219" max="9219" width="17.85546875" style="38" customWidth="1"/>
    <col min="9220" max="9223" width="1" style="38" customWidth="1"/>
    <col min="9224" max="9224" width="17.85546875" style="38" customWidth="1"/>
    <col min="9225" max="9226" width="1" style="38" customWidth="1"/>
    <col min="9227" max="9245" width="0" style="38" hidden="1" customWidth="1"/>
    <col min="9246" max="9246" width="1" style="38" customWidth="1"/>
    <col min="9247" max="9251" width="0" style="38" hidden="1" customWidth="1"/>
    <col min="9252" max="9253" width="1" style="38" customWidth="1"/>
    <col min="9254" max="9254" width="17.85546875" style="38" customWidth="1"/>
    <col min="9255" max="9256" width="1" style="38" customWidth="1"/>
    <col min="9257" max="9286" width="0" style="38" hidden="1" customWidth="1"/>
    <col min="9287" max="9288" width="1" style="38" customWidth="1"/>
    <col min="9289" max="9289" width="17.85546875" style="38" customWidth="1"/>
    <col min="9290" max="9291" width="1" style="38" customWidth="1"/>
    <col min="9292" max="9292" width="1.5703125" style="38" customWidth="1"/>
    <col min="9293" max="9293" width="0.7109375" style="38" customWidth="1"/>
    <col min="9294" max="9294" width="1.85546875" style="38" customWidth="1"/>
    <col min="9295" max="9295" width="10.7109375" style="38" customWidth="1"/>
    <col min="9296" max="9296" width="0" style="38" hidden="1" customWidth="1"/>
    <col min="9297" max="9402" width="10" style="38"/>
    <col min="9403" max="9403" width="1.5703125" style="38" customWidth="1"/>
    <col min="9404" max="9404" width="1.42578125" style="38" customWidth="1"/>
    <col min="9405" max="9405" width="57.5703125" style="38" customWidth="1"/>
    <col min="9406" max="9406" width="2.7109375" style="38" customWidth="1"/>
    <col min="9407" max="9407" width="0" style="38" hidden="1" customWidth="1"/>
    <col min="9408" max="9409" width="1" style="38" customWidth="1"/>
    <col min="9410" max="9410" width="19.7109375" style="38" customWidth="1"/>
    <col min="9411" max="9412" width="1" style="38" customWidth="1"/>
    <col min="9413" max="9437" width="0" style="38" hidden="1" customWidth="1"/>
    <col min="9438" max="9439" width="1" style="38" customWidth="1"/>
    <col min="9440" max="9440" width="17.85546875" style="38" customWidth="1"/>
    <col min="9441" max="9442" width="1" style="38" customWidth="1"/>
    <col min="9443" max="9472" width="0" style="38" hidden="1" customWidth="1"/>
    <col min="9473" max="9474" width="1" style="38" customWidth="1"/>
    <col min="9475" max="9475" width="17.85546875" style="38" customWidth="1"/>
    <col min="9476" max="9479" width="1" style="38" customWidth="1"/>
    <col min="9480" max="9480" width="17.85546875" style="38" customWidth="1"/>
    <col min="9481" max="9482" width="1" style="38" customWidth="1"/>
    <col min="9483" max="9501" width="0" style="38" hidden="1" customWidth="1"/>
    <col min="9502" max="9502" width="1" style="38" customWidth="1"/>
    <col min="9503" max="9507" width="0" style="38" hidden="1" customWidth="1"/>
    <col min="9508" max="9509" width="1" style="38" customWidth="1"/>
    <col min="9510" max="9510" width="17.85546875" style="38" customWidth="1"/>
    <col min="9511" max="9512" width="1" style="38" customWidth="1"/>
    <col min="9513" max="9542" width="0" style="38" hidden="1" customWidth="1"/>
    <col min="9543" max="9544" width="1" style="38" customWidth="1"/>
    <col min="9545" max="9545" width="17.85546875" style="38" customWidth="1"/>
    <col min="9546" max="9547" width="1" style="38" customWidth="1"/>
    <col min="9548" max="9548" width="1.5703125" style="38" customWidth="1"/>
    <col min="9549" max="9549" width="0.7109375" style="38" customWidth="1"/>
    <col min="9550" max="9550" width="1.85546875" style="38" customWidth="1"/>
    <col min="9551" max="9551" width="10.7109375" style="38" customWidth="1"/>
    <col min="9552" max="9552" width="0" style="38" hidden="1" customWidth="1"/>
    <col min="9553" max="9658" width="10" style="38"/>
    <col min="9659" max="9659" width="1.5703125" style="38" customWidth="1"/>
    <col min="9660" max="9660" width="1.42578125" style="38" customWidth="1"/>
    <col min="9661" max="9661" width="57.5703125" style="38" customWidth="1"/>
    <col min="9662" max="9662" width="2.7109375" style="38" customWidth="1"/>
    <col min="9663" max="9663" width="0" style="38" hidden="1" customWidth="1"/>
    <col min="9664" max="9665" width="1" style="38" customWidth="1"/>
    <col min="9666" max="9666" width="19.7109375" style="38" customWidth="1"/>
    <col min="9667" max="9668" width="1" style="38" customWidth="1"/>
    <col min="9669" max="9693" width="0" style="38" hidden="1" customWidth="1"/>
    <col min="9694" max="9695" width="1" style="38" customWidth="1"/>
    <col min="9696" max="9696" width="17.85546875" style="38" customWidth="1"/>
    <col min="9697" max="9698" width="1" style="38" customWidth="1"/>
    <col min="9699" max="9728" width="0" style="38" hidden="1" customWidth="1"/>
    <col min="9729" max="9730" width="1" style="38" customWidth="1"/>
    <col min="9731" max="9731" width="17.85546875" style="38" customWidth="1"/>
    <col min="9732" max="9735" width="1" style="38" customWidth="1"/>
    <col min="9736" max="9736" width="17.85546875" style="38" customWidth="1"/>
    <col min="9737" max="9738" width="1" style="38" customWidth="1"/>
    <col min="9739" max="9757" width="0" style="38" hidden="1" customWidth="1"/>
    <col min="9758" max="9758" width="1" style="38" customWidth="1"/>
    <col min="9759" max="9763" width="0" style="38" hidden="1" customWidth="1"/>
    <col min="9764" max="9765" width="1" style="38" customWidth="1"/>
    <col min="9766" max="9766" width="17.85546875" style="38" customWidth="1"/>
    <col min="9767" max="9768" width="1" style="38" customWidth="1"/>
    <col min="9769" max="9798" width="0" style="38" hidden="1" customWidth="1"/>
    <col min="9799" max="9800" width="1" style="38" customWidth="1"/>
    <col min="9801" max="9801" width="17.85546875" style="38" customWidth="1"/>
    <col min="9802" max="9803" width="1" style="38" customWidth="1"/>
    <col min="9804" max="9804" width="1.5703125" style="38" customWidth="1"/>
    <col min="9805" max="9805" width="0.7109375" style="38" customWidth="1"/>
    <col min="9806" max="9806" width="1.85546875" style="38" customWidth="1"/>
    <col min="9807" max="9807" width="10.7109375" style="38" customWidth="1"/>
    <col min="9808" max="9808" width="0" style="38" hidden="1" customWidth="1"/>
    <col min="9809" max="9914" width="10" style="38"/>
    <col min="9915" max="9915" width="1.5703125" style="38" customWidth="1"/>
    <col min="9916" max="9916" width="1.42578125" style="38" customWidth="1"/>
    <col min="9917" max="9917" width="57.5703125" style="38" customWidth="1"/>
    <col min="9918" max="9918" width="2.7109375" style="38" customWidth="1"/>
    <col min="9919" max="9919" width="0" style="38" hidden="1" customWidth="1"/>
    <col min="9920" max="9921" width="1" style="38" customWidth="1"/>
    <col min="9922" max="9922" width="19.7109375" style="38" customWidth="1"/>
    <col min="9923" max="9924" width="1" style="38" customWidth="1"/>
    <col min="9925" max="9949" width="0" style="38" hidden="1" customWidth="1"/>
    <col min="9950" max="9951" width="1" style="38" customWidth="1"/>
    <col min="9952" max="9952" width="17.85546875" style="38" customWidth="1"/>
    <col min="9953" max="9954" width="1" style="38" customWidth="1"/>
    <col min="9955" max="9984" width="0" style="38" hidden="1" customWidth="1"/>
    <col min="9985" max="9986" width="1" style="38" customWidth="1"/>
    <col min="9987" max="9987" width="17.85546875" style="38" customWidth="1"/>
    <col min="9988" max="9991" width="1" style="38" customWidth="1"/>
    <col min="9992" max="9992" width="17.85546875" style="38" customWidth="1"/>
    <col min="9993" max="9994" width="1" style="38" customWidth="1"/>
    <col min="9995" max="10013" width="0" style="38" hidden="1" customWidth="1"/>
    <col min="10014" max="10014" width="1" style="38" customWidth="1"/>
    <col min="10015" max="10019" width="0" style="38" hidden="1" customWidth="1"/>
    <col min="10020" max="10021" width="1" style="38" customWidth="1"/>
    <col min="10022" max="10022" width="17.85546875" style="38" customWidth="1"/>
    <col min="10023" max="10024" width="1" style="38" customWidth="1"/>
    <col min="10025" max="10054" width="0" style="38" hidden="1" customWidth="1"/>
    <col min="10055" max="10056" width="1" style="38" customWidth="1"/>
    <col min="10057" max="10057" width="17.85546875" style="38" customWidth="1"/>
    <col min="10058" max="10059" width="1" style="38" customWidth="1"/>
    <col min="10060" max="10060" width="1.5703125" style="38" customWidth="1"/>
    <col min="10061" max="10061" width="0.7109375" style="38" customWidth="1"/>
    <col min="10062" max="10062" width="1.85546875" style="38" customWidth="1"/>
    <col min="10063" max="10063" width="10.7109375" style="38" customWidth="1"/>
    <col min="10064" max="10064" width="0" style="38" hidden="1" customWidth="1"/>
    <col min="10065" max="10170" width="10" style="38"/>
    <col min="10171" max="10171" width="1.5703125" style="38" customWidth="1"/>
    <col min="10172" max="10172" width="1.42578125" style="38" customWidth="1"/>
    <col min="10173" max="10173" width="57.5703125" style="38" customWidth="1"/>
    <col min="10174" max="10174" width="2.7109375" style="38" customWidth="1"/>
    <col min="10175" max="10175" width="0" style="38" hidden="1" customWidth="1"/>
    <col min="10176" max="10177" width="1" style="38" customWidth="1"/>
    <col min="10178" max="10178" width="19.7109375" style="38" customWidth="1"/>
    <col min="10179" max="10180" width="1" style="38" customWidth="1"/>
    <col min="10181" max="10205" width="0" style="38" hidden="1" customWidth="1"/>
    <col min="10206" max="10207" width="1" style="38" customWidth="1"/>
    <col min="10208" max="10208" width="17.85546875" style="38" customWidth="1"/>
    <col min="10209" max="10210" width="1" style="38" customWidth="1"/>
    <col min="10211" max="10240" width="0" style="38" hidden="1" customWidth="1"/>
    <col min="10241" max="10242" width="1" style="38" customWidth="1"/>
    <col min="10243" max="10243" width="17.85546875" style="38" customWidth="1"/>
    <col min="10244" max="10247" width="1" style="38" customWidth="1"/>
    <col min="10248" max="10248" width="17.85546875" style="38" customWidth="1"/>
    <col min="10249" max="10250" width="1" style="38" customWidth="1"/>
    <col min="10251" max="10269" width="0" style="38" hidden="1" customWidth="1"/>
    <col min="10270" max="10270" width="1" style="38" customWidth="1"/>
    <col min="10271" max="10275" width="0" style="38" hidden="1" customWidth="1"/>
    <col min="10276" max="10277" width="1" style="38" customWidth="1"/>
    <col min="10278" max="10278" width="17.85546875" style="38" customWidth="1"/>
    <col min="10279" max="10280" width="1" style="38" customWidth="1"/>
    <col min="10281" max="10310" width="0" style="38" hidden="1" customWidth="1"/>
    <col min="10311" max="10312" width="1" style="38" customWidth="1"/>
    <col min="10313" max="10313" width="17.85546875" style="38" customWidth="1"/>
    <col min="10314" max="10315" width="1" style="38" customWidth="1"/>
    <col min="10316" max="10316" width="1.5703125" style="38" customWidth="1"/>
    <col min="10317" max="10317" width="0.7109375" style="38" customWidth="1"/>
    <col min="10318" max="10318" width="1.85546875" style="38" customWidth="1"/>
    <col min="10319" max="10319" width="10.7109375" style="38" customWidth="1"/>
    <col min="10320" max="10320" width="0" style="38" hidden="1" customWidth="1"/>
    <col min="10321" max="10426" width="10" style="38"/>
    <col min="10427" max="10427" width="1.5703125" style="38" customWidth="1"/>
    <col min="10428" max="10428" width="1.42578125" style="38" customWidth="1"/>
    <col min="10429" max="10429" width="57.5703125" style="38" customWidth="1"/>
    <col min="10430" max="10430" width="2.7109375" style="38" customWidth="1"/>
    <col min="10431" max="10431" width="0" style="38" hidden="1" customWidth="1"/>
    <col min="10432" max="10433" width="1" style="38" customWidth="1"/>
    <col min="10434" max="10434" width="19.7109375" style="38" customWidth="1"/>
    <col min="10435" max="10436" width="1" style="38" customWidth="1"/>
    <col min="10437" max="10461" width="0" style="38" hidden="1" customWidth="1"/>
    <col min="10462" max="10463" width="1" style="38" customWidth="1"/>
    <col min="10464" max="10464" width="17.85546875" style="38" customWidth="1"/>
    <col min="10465" max="10466" width="1" style="38" customWidth="1"/>
    <col min="10467" max="10496" width="0" style="38" hidden="1" customWidth="1"/>
    <col min="10497" max="10498" width="1" style="38" customWidth="1"/>
    <col min="10499" max="10499" width="17.85546875" style="38" customWidth="1"/>
    <col min="10500" max="10503" width="1" style="38" customWidth="1"/>
    <col min="10504" max="10504" width="17.85546875" style="38" customWidth="1"/>
    <col min="10505" max="10506" width="1" style="38" customWidth="1"/>
    <col min="10507" max="10525" width="0" style="38" hidden="1" customWidth="1"/>
    <col min="10526" max="10526" width="1" style="38" customWidth="1"/>
    <col min="10527" max="10531" width="0" style="38" hidden="1" customWidth="1"/>
    <col min="10532" max="10533" width="1" style="38" customWidth="1"/>
    <col min="10534" max="10534" width="17.85546875" style="38" customWidth="1"/>
    <col min="10535" max="10536" width="1" style="38" customWidth="1"/>
    <col min="10537" max="10566" width="0" style="38" hidden="1" customWidth="1"/>
    <col min="10567" max="10568" width="1" style="38" customWidth="1"/>
    <col min="10569" max="10569" width="17.85546875" style="38" customWidth="1"/>
    <col min="10570" max="10571" width="1" style="38" customWidth="1"/>
    <col min="10572" max="10572" width="1.5703125" style="38" customWidth="1"/>
    <col min="10573" max="10573" width="0.7109375" style="38" customWidth="1"/>
    <col min="10574" max="10574" width="1.85546875" style="38" customWidth="1"/>
    <col min="10575" max="10575" width="10.7109375" style="38" customWidth="1"/>
    <col min="10576" max="10576" width="0" style="38" hidden="1" customWidth="1"/>
    <col min="10577" max="10682" width="10" style="38"/>
    <col min="10683" max="10683" width="1.5703125" style="38" customWidth="1"/>
    <col min="10684" max="10684" width="1.42578125" style="38" customWidth="1"/>
    <col min="10685" max="10685" width="57.5703125" style="38" customWidth="1"/>
    <col min="10686" max="10686" width="2.7109375" style="38" customWidth="1"/>
    <col min="10687" max="10687" width="0" style="38" hidden="1" customWidth="1"/>
    <col min="10688" max="10689" width="1" style="38" customWidth="1"/>
    <col min="10690" max="10690" width="19.7109375" style="38" customWidth="1"/>
    <col min="10691" max="10692" width="1" style="38" customWidth="1"/>
    <col min="10693" max="10717" width="0" style="38" hidden="1" customWidth="1"/>
    <col min="10718" max="10719" width="1" style="38" customWidth="1"/>
    <col min="10720" max="10720" width="17.85546875" style="38" customWidth="1"/>
    <col min="10721" max="10722" width="1" style="38" customWidth="1"/>
    <col min="10723" max="10752" width="0" style="38" hidden="1" customWidth="1"/>
    <col min="10753" max="10754" width="1" style="38" customWidth="1"/>
    <col min="10755" max="10755" width="17.85546875" style="38" customWidth="1"/>
    <col min="10756" max="10759" width="1" style="38" customWidth="1"/>
    <col min="10760" max="10760" width="17.85546875" style="38" customWidth="1"/>
    <col min="10761" max="10762" width="1" style="38" customWidth="1"/>
    <col min="10763" max="10781" width="0" style="38" hidden="1" customWidth="1"/>
    <col min="10782" max="10782" width="1" style="38" customWidth="1"/>
    <col min="10783" max="10787" width="0" style="38" hidden="1" customWidth="1"/>
    <col min="10788" max="10789" width="1" style="38" customWidth="1"/>
    <col min="10790" max="10790" width="17.85546875" style="38" customWidth="1"/>
    <col min="10791" max="10792" width="1" style="38" customWidth="1"/>
    <col min="10793" max="10822" width="0" style="38" hidden="1" customWidth="1"/>
    <col min="10823" max="10824" width="1" style="38" customWidth="1"/>
    <col min="10825" max="10825" width="17.85546875" style="38" customWidth="1"/>
    <col min="10826" max="10827" width="1" style="38" customWidth="1"/>
    <col min="10828" max="10828" width="1.5703125" style="38" customWidth="1"/>
    <col min="10829" max="10829" width="0.7109375" style="38" customWidth="1"/>
    <col min="10830" max="10830" width="1.85546875" style="38" customWidth="1"/>
    <col min="10831" max="10831" width="10.7109375" style="38" customWidth="1"/>
    <col min="10832" max="10832" width="0" style="38" hidden="1" customWidth="1"/>
    <col min="10833" max="10938" width="10" style="38"/>
    <col min="10939" max="10939" width="1.5703125" style="38" customWidth="1"/>
    <col min="10940" max="10940" width="1.42578125" style="38" customWidth="1"/>
    <col min="10941" max="10941" width="57.5703125" style="38" customWidth="1"/>
    <col min="10942" max="10942" width="2.7109375" style="38" customWidth="1"/>
    <col min="10943" max="10943" width="0" style="38" hidden="1" customWidth="1"/>
    <col min="10944" max="10945" width="1" style="38" customWidth="1"/>
    <col min="10946" max="10946" width="19.7109375" style="38" customWidth="1"/>
    <col min="10947" max="10948" width="1" style="38" customWidth="1"/>
    <col min="10949" max="10973" width="0" style="38" hidden="1" customWidth="1"/>
    <col min="10974" max="10975" width="1" style="38" customWidth="1"/>
    <col min="10976" max="10976" width="17.85546875" style="38" customWidth="1"/>
    <col min="10977" max="10978" width="1" style="38" customWidth="1"/>
    <col min="10979" max="11008" width="0" style="38" hidden="1" customWidth="1"/>
    <col min="11009" max="11010" width="1" style="38" customWidth="1"/>
    <col min="11011" max="11011" width="17.85546875" style="38" customWidth="1"/>
    <col min="11012" max="11015" width="1" style="38" customWidth="1"/>
    <col min="11016" max="11016" width="17.85546875" style="38" customWidth="1"/>
    <col min="11017" max="11018" width="1" style="38" customWidth="1"/>
    <col min="11019" max="11037" width="0" style="38" hidden="1" customWidth="1"/>
    <col min="11038" max="11038" width="1" style="38" customWidth="1"/>
    <col min="11039" max="11043" width="0" style="38" hidden="1" customWidth="1"/>
    <col min="11044" max="11045" width="1" style="38" customWidth="1"/>
    <col min="11046" max="11046" width="17.85546875" style="38" customWidth="1"/>
    <col min="11047" max="11048" width="1" style="38" customWidth="1"/>
    <col min="11049" max="11078" width="0" style="38" hidden="1" customWidth="1"/>
    <col min="11079" max="11080" width="1" style="38" customWidth="1"/>
    <col min="11081" max="11081" width="17.85546875" style="38" customWidth="1"/>
    <col min="11082" max="11083" width="1" style="38" customWidth="1"/>
    <col min="11084" max="11084" width="1.5703125" style="38" customWidth="1"/>
    <col min="11085" max="11085" width="0.7109375" style="38" customWidth="1"/>
    <col min="11086" max="11086" width="1.85546875" style="38" customWidth="1"/>
    <col min="11087" max="11087" width="10.7109375" style="38" customWidth="1"/>
    <col min="11088" max="11088" width="0" style="38" hidden="1" customWidth="1"/>
    <col min="11089" max="11194" width="10" style="38"/>
    <col min="11195" max="11195" width="1.5703125" style="38" customWidth="1"/>
    <col min="11196" max="11196" width="1.42578125" style="38" customWidth="1"/>
    <col min="11197" max="11197" width="57.5703125" style="38" customWidth="1"/>
    <col min="11198" max="11198" width="2.7109375" style="38" customWidth="1"/>
    <col min="11199" max="11199" width="0" style="38" hidden="1" customWidth="1"/>
    <col min="11200" max="11201" width="1" style="38" customWidth="1"/>
    <col min="11202" max="11202" width="19.7109375" style="38" customWidth="1"/>
    <col min="11203" max="11204" width="1" style="38" customWidth="1"/>
    <col min="11205" max="11229" width="0" style="38" hidden="1" customWidth="1"/>
    <col min="11230" max="11231" width="1" style="38" customWidth="1"/>
    <col min="11232" max="11232" width="17.85546875" style="38" customWidth="1"/>
    <col min="11233" max="11234" width="1" style="38" customWidth="1"/>
    <col min="11235" max="11264" width="0" style="38" hidden="1" customWidth="1"/>
    <col min="11265" max="11266" width="1" style="38" customWidth="1"/>
    <col min="11267" max="11267" width="17.85546875" style="38" customWidth="1"/>
    <col min="11268" max="11271" width="1" style="38" customWidth="1"/>
    <col min="11272" max="11272" width="17.85546875" style="38" customWidth="1"/>
    <col min="11273" max="11274" width="1" style="38" customWidth="1"/>
    <col min="11275" max="11293" width="0" style="38" hidden="1" customWidth="1"/>
    <col min="11294" max="11294" width="1" style="38" customWidth="1"/>
    <col min="11295" max="11299" width="0" style="38" hidden="1" customWidth="1"/>
    <col min="11300" max="11301" width="1" style="38" customWidth="1"/>
    <col min="11302" max="11302" width="17.85546875" style="38" customWidth="1"/>
    <col min="11303" max="11304" width="1" style="38" customWidth="1"/>
    <col min="11305" max="11334" width="0" style="38" hidden="1" customWidth="1"/>
    <col min="11335" max="11336" width="1" style="38" customWidth="1"/>
    <col min="11337" max="11337" width="17.85546875" style="38" customWidth="1"/>
    <col min="11338" max="11339" width="1" style="38" customWidth="1"/>
    <col min="11340" max="11340" width="1.5703125" style="38" customWidth="1"/>
    <col min="11341" max="11341" width="0.7109375" style="38" customWidth="1"/>
    <col min="11342" max="11342" width="1.85546875" style="38" customWidth="1"/>
    <col min="11343" max="11343" width="10.7109375" style="38" customWidth="1"/>
    <col min="11344" max="11344" width="0" style="38" hidden="1" customWidth="1"/>
    <col min="11345" max="11450" width="10" style="38"/>
    <col min="11451" max="11451" width="1.5703125" style="38" customWidth="1"/>
    <col min="11452" max="11452" width="1.42578125" style="38" customWidth="1"/>
    <col min="11453" max="11453" width="57.5703125" style="38" customWidth="1"/>
    <col min="11454" max="11454" width="2.7109375" style="38" customWidth="1"/>
    <col min="11455" max="11455" width="0" style="38" hidden="1" customWidth="1"/>
    <col min="11456" max="11457" width="1" style="38" customWidth="1"/>
    <col min="11458" max="11458" width="19.7109375" style="38" customWidth="1"/>
    <col min="11459" max="11460" width="1" style="38" customWidth="1"/>
    <col min="11461" max="11485" width="0" style="38" hidden="1" customWidth="1"/>
    <col min="11486" max="11487" width="1" style="38" customWidth="1"/>
    <col min="11488" max="11488" width="17.85546875" style="38" customWidth="1"/>
    <col min="11489" max="11490" width="1" style="38" customWidth="1"/>
    <col min="11491" max="11520" width="0" style="38" hidden="1" customWidth="1"/>
    <col min="11521" max="11522" width="1" style="38" customWidth="1"/>
    <col min="11523" max="11523" width="17.85546875" style="38" customWidth="1"/>
    <col min="11524" max="11527" width="1" style="38" customWidth="1"/>
    <col min="11528" max="11528" width="17.85546875" style="38" customWidth="1"/>
    <col min="11529" max="11530" width="1" style="38" customWidth="1"/>
    <col min="11531" max="11549" width="0" style="38" hidden="1" customWidth="1"/>
    <col min="11550" max="11550" width="1" style="38" customWidth="1"/>
    <col min="11551" max="11555" width="0" style="38" hidden="1" customWidth="1"/>
    <col min="11556" max="11557" width="1" style="38" customWidth="1"/>
    <col min="11558" max="11558" width="17.85546875" style="38" customWidth="1"/>
    <col min="11559" max="11560" width="1" style="38" customWidth="1"/>
    <col min="11561" max="11590" width="0" style="38" hidden="1" customWidth="1"/>
    <col min="11591" max="11592" width="1" style="38" customWidth="1"/>
    <col min="11593" max="11593" width="17.85546875" style="38" customWidth="1"/>
    <col min="11594" max="11595" width="1" style="38" customWidth="1"/>
    <col min="11596" max="11596" width="1.5703125" style="38" customWidth="1"/>
    <col min="11597" max="11597" width="0.7109375" style="38" customWidth="1"/>
    <col min="11598" max="11598" width="1.85546875" style="38" customWidth="1"/>
    <col min="11599" max="11599" width="10.7109375" style="38" customWidth="1"/>
    <col min="11600" max="11600" width="0" style="38" hidden="1" customWidth="1"/>
    <col min="11601" max="11706" width="10" style="38"/>
    <col min="11707" max="11707" width="1.5703125" style="38" customWidth="1"/>
    <col min="11708" max="11708" width="1.42578125" style="38" customWidth="1"/>
    <col min="11709" max="11709" width="57.5703125" style="38" customWidth="1"/>
    <col min="11710" max="11710" width="2.7109375" style="38" customWidth="1"/>
    <col min="11711" max="11711" width="0" style="38" hidden="1" customWidth="1"/>
    <col min="11712" max="11713" width="1" style="38" customWidth="1"/>
    <col min="11714" max="11714" width="19.7109375" style="38" customWidth="1"/>
    <col min="11715" max="11716" width="1" style="38" customWidth="1"/>
    <col min="11717" max="11741" width="0" style="38" hidden="1" customWidth="1"/>
    <col min="11742" max="11743" width="1" style="38" customWidth="1"/>
    <col min="11744" max="11744" width="17.85546875" style="38" customWidth="1"/>
    <col min="11745" max="11746" width="1" style="38" customWidth="1"/>
    <col min="11747" max="11776" width="0" style="38" hidden="1" customWidth="1"/>
    <col min="11777" max="11778" width="1" style="38" customWidth="1"/>
    <col min="11779" max="11779" width="17.85546875" style="38" customWidth="1"/>
    <col min="11780" max="11783" width="1" style="38" customWidth="1"/>
    <col min="11784" max="11784" width="17.85546875" style="38" customWidth="1"/>
    <col min="11785" max="11786" width="1" style="38" customWidth="1"/>
    <col min="11787" max="11805" width="0" style="38" hidden="1" customWidth="1"/>
    <col min="11806" max="11806" width="1" style="38" customWidth="1"/>
    <col min="11807" max="11811" width="0" style="38" hidden="1" customWidth="1"/>
    <col min="11812" max="11813" width="1" style="38" customWidth="1"/>
    <col min="11814" max="11814" width="17.85546875" style="38" customWidth="1"/>
    <col min="11815" max="11816" width="1" style="38" customWidth="1"/>
    <col min="11817" max="11846" width="0" style="38" hidden="1" customWidth="1"/>
    <col min="11847" max="11848" width="1" style="38" customWidth="1"/>
    <col min="11849" max="11849" width="17.85546875" style="38" customWidth="1"/>
    <col min="11850" max="11851" width="1" style="38" customWidth="1"/>
    <col min="11852" max="11852" width="1.5703125" style="38" customWidth="1"/>
    <col min="11853" max="11853" width="0.7109375" style="38" customWidth="1"/>
    <col min="11854" max="11854" width="1.85546875" style="38" customWidth="1"/>
    <col min="11855" max="11855" width="10.7109375" style="38" customWidth="1"/>
    <col min="11856" max="11856" width="0" style="38" hidden="1" customWidth="1"/>
    <col min="11857" max="11962" width="10" style="38"/>
    <col min="11963" max="11963" width="1.5703125" style="38" customWidth="1"/>
    <col min="11964" max="11964" width="1.42578125" style="38" customWidth="1"/>
    <col min="11965" max="11965" width="57.5703125" style="38" customWidth="1"/>
    <col min="11966" max="11966" width="2.7109375" style="38" customWidth="1"/>
    <col min="11967" max="11967" width="0" style="38" hidden="1" customWidth="1"/>
    <col min="11968" max="11969" width="1" style="38" customWidth="1"/>
    <col min="11970" max="11970" width="19.7109375" style="38" customWidth="1"/>
    <col min="11971" max="11972" width="1" style="38" customWidth="1"/>
    <col min="11973" max="11997" width="0" style="38" hidden="1" customWidth="1"/>
    <col min="11998" max="11999" width="1" style="38" customWidth="1"/>
    <col min="12000" max="12000" width="17.85546875" style="38" customWidth="1"/>
    <col min="12001" max="12002" width="1" style="38" customWidth="1"/>
    <col min="12003" max="12032" width="0" style="38" hidden="1" customWidth="1"/>
    <col min="12033" max="12034" width="1" style="38" customWidth="1"/>
    <col min="12035" max="12035" width="17.85546875" style="38" customWidth="1"/>
    <col min="12036" max="12039" width="1" style="38" customWidth="1"/>
    <col min="12040" max="12040" width="17.85546875" style="38" customWidth="1"/>
    <col min="12041" max="12042" width="1" style="38" customWidth="1"/>
    <col min="12043" max="12061" width="0" style="38" hidden="1" customWidth="1"/>
    <col min="12062" max="12062" width="1" style="38" customWidth="1"/>
    <col min="12063" max="12067" width="0" style="38" hidden="1" customWidth="1"/>
    <col min="12068" max="12069" width="1" style="38" customWidth="1"/>
    <col min="12070" max="12070" width="17.85546875" style="38" customWidth="1"/>
    <col min="12071" max="12072" width="1" style="38" customWidth="1"/>
    <col min="12073" max="12102" width="0" style="38" hidden="1" customWidth="1"/>
    <col min="12103" max="12104" width="1" style="38" customWidth="1"/>
    <col min="12105" max="12105" width="17.85546875" style="38" customWidth="1"/>
    <col min="12106" max="12107" width="1" style="38" customWidth="1"/>
    <col min="12108" max="12108" width="1.5703125" style="38" customWidth="1"/>
    <col min="12109" max="12109" width="0.7109375" style="38" customWidth="1"/>
    <col min="12110" max="12110" width="1.85546875" style="38" customWidth="1"/>
    <col min="12111" max="12111" width="10.7109375" style="38" customWidth="1"/>
    <col min="12112" max="12112" width="0" style="38" hidden="1" customWidth="1"/>
    <col min="12113" max="12218" width="10" style="38"/>
    <col min="12219" max="12219" width="1.5703125" style="38" customWidth="1"/>
    <col min="12220" max="12220" width="1.42578125" style="38" customWidth="1"/>
    <col min="12221" max="12221" width="57.5703125" style="38" customWidth="1"/>
    <col min="12222" max="12222" width="2.7109375" style="38" customWidth="1"/>
    <col min="12223" max="12223" width="0" style="38" hidden="1" customWidth="1"/>
    <col min="12224" max="12225" width="1" style="38" customWidth="1"/>
    <col min="12226" max="12226" width="19.7109375" style="38" customWidth="1"/>
    <col min="12227" max="12228" width="1" style="38" customWidth="1"/>
    <col min="12229" max="12253" width="0" style="38" hidden="1" customWidth="1"/>
    <col min="12254" max="12255" width="1" style="38" customWidth="1"/>
    <col min="12256" max="12256" width="17.85546875" style="38" customWidth="1"/>
    <col min="12257" max="12258" width="1" style="38" customWidth="1"/>
    <col min="12259" max="12288" width="0" style="38" hidden="1" customWidth="1"/>
    <col min="12289" max="12290" width="1" style="38" customWidth="1"/>
    <col min="12291" max="12291" width="17.85546875" style="38" customWidth="1"/>
    <col min="12292" max="12295" width="1" style="38" customWidth="1"/>
    <col min="12296" max="12296" width="17.85546875" style="38" customWidth="1"/>
    <col min="12297" max="12298" width="1" style="38" customWidth="1"/>
    <col min="12299" max="12317" width="0" style="38" hidden="1" customWidth="1"/>
    <col min="12318" max="12318" width="1" style="38" customWidth="1"/>
    <col min="12319" max="12323" width="0" style="38" hidden="1" customWidth="1"/>
    <col min="12324" max="12325" width="1" style="38" customWidth="1"/>
    <col min="12326" max="12326" width="17.85546875" style="38" customWidth="1"/>
    <col min="12327" max="12328" width="1" style="38" customWidth="1"/>
    <col min="12329" max="12358" width="0" style="38" hidden="1" customWidth="1"/>
    <col min="12359" max="12360" width="1" style="38" customWidth="1"/>
    <col min="12361" max="12361" width="17.85546875" style="38" customWidth="1"/>
    <col min="12362" max="12363" width="1" style="38" customWidth="1"/>
    <col min="12364" max="12364" width="1.5703125" style="38" customWidth="1"/>
    <col min="12365" max="12365" width="0.7109375" style="38" customWidth="1"/>
    <col min="12366" max="12366" width="1.85546875" style="38" customWidth="1"/>
    <col min="12367" max="12367" width="10.7109375" style="38" customWidth="1"/>
    <col min="12368" max="12368" width="0" style="38" hidden="1" customWidth="1"/>
    <col min="12369" max="12474" width="10" style="38"/>
    <col min="12475" max="12475" width="1.5703125" style="38" customWidth="1"/>
    <col min="12476" max="12476" width="1.42578125" style="38" customWidth="1"/>
    <col min="12477" max="12477" width="57.5703125" style="38" customWidth="1"/>
    <col min="12478" max="12478" width="2.7109375" style="38" customWidth="1"/>
    <col min="12479" max="12479" width="0" style="38" hidden="1" customWidth="1"/>
    <col min="12480" max="12481" width="1" style="38" customWidth="1"/>
    <col min="12482" max="12482" width="19.7109375" style="38" customWidth="1"/>
    <col min="12483" max="12484" width="1" style="38" customWidth="1"/>
    <col min="12485" max="12509" width="0" style="38" hidden="1" customWidth="1"/>
    <col min="12510" max="12511" width="1" style="38" customWidth="1"/>
    <col min="12512" max="12512" width="17.85546875" style="38" customWidth="1"/>
    <col min="12513" max="12514" width="1" style="38" customWidth="1"/>
    <col min="12515" max="12544" width="0" style="38" hidden="1" customWidth="1"/>
    <col min="12545" max="12546" width="1" style="38" customWidth="1"/>
    <col min="12547" max="12547" width="17.85546875" style="38" customWidth="1"/>
    <col min="12548" max="12551" width="1" style="38" customWidth="1"/>
    <col min="12552" max="12552" width="17.85546875" style="38" customWidth="1"/>
    <col min="12553" max="12554" width="1" style="38" customWidth="1"/>
    <col min="12555" max="12573" width="0" style="38" hidden="1" customWidth="1"/>
    <col min="12574" max="12574" width="1" style="38" customWidth="1"/>
    <col min="12575" max="12579" width="0" style="38" hidden="1" customWidth="1"/>
    <col min="12580" max="12581" width="1" style="38" customWidth="1"/>
    <col min="12582" max="12582" width="17.85546875" style="38" customWidth="1"/>
    <col min="12583" max="12584" width="1" style="38" customWidth="1"/>
    <col min="12585" max="12614" width="0" style="38" hidden="1" customWidth="1"/>
    <col min="12615" max="12616" width="1" style="38" customWidth="1"/>
    <col min="12617" max="12617" width="17.85546875" style="38" customWidth="1"/>
    <col min="12618" max="12619" width="1" style="38" customWidth="1"/>
    <col min="12620" max="12620" width="1.5703125" style="38" customWidth="1"/>
    <col min="12621" max="12621" width="0.7109375" style="38" customWidth="1"/>
    <col min="12622" max="12622" width="1.85546875" style="38" customWidth="1"/>
    <col min="12623" max="12623" width="10.7109375" style="38" customWidth="1"/>
    <col min="12624" max="12624" width="0" style="38" hidden="1" customWidth="1"/>
    <col min="12625" max="12730" width="10" style="38"/>
    <col min="12731" max="12731" width="1.5703125" style="38" customWidth="1"/>
    <col min="12732" max="12732" width="1.42578125" style="38" customWidth="1"/>
    <col min="12733" max="12733" width="57.5703125" style="38" customWidth="1"/>
    <col min="12734" max="12734" width="2.7109375" style="38" customWidth="1"/>
    <col min="12735" max="12735" width="0" style="38" hidden="1" customWidth="1"/>
    <col min="12736" max="12737" width="1" style="38" customWidth="1"/>
    <col min="12738" max="12738" width="19.7109375" style="38" customWidth="1"/>
    <col min="12739" max="12740" width="1" style="38" customWidth="1"/>
    <col min="12741" max="12765" width="0" style="38" hidden="1" customWidth="1"/>
    <col min="12766" max="12767" width="1" style="38" customWidth="1"/>
    <col min="12768" max="12768" width="17.85546875" style="38" customWidth="1"/>
    <col min="12769" max="12770" width="1" style="38" customWidth="1"/>
    <col min="12771" max="12800" width="0" style="38" hidden="1" customWidth="1"/>
    <col min="12801" max="12802" width="1" style="38" customWidth="1"/>
    <col min="12803" max="12803" width="17.85546875" style="38" customWidth="1"/>
    <col min="12804" max="12807" width="1" style="38" customWidth="1"/>
    <col min="12808" max="12808" width="17.85546875" style="38" customWidth="1"/>
    <col min="12809" max="12810" width="1" style="38" customWidth="1"/>
    <col min="12811" max="12829" width="0" style="38" hidden="1" customWidth="1"/>
    <col min="12830" max="12830" width="1" style="38" customWidth="1"/>
    <col min="12831" max="12835" width="0" style="38" hidden="1" customWidth="1"/>
    <col min="12836" max="12837" width="1" style="38" customWidth="1"/>
    <col min="12838" max="12838" width="17.85546875" style="38" customWidth="1"/>
    <col min="12839" max="12840" width="1" style="38" customWidth="1"/>
    <col min="12841" max="12870" width="0" style="38" hidden="1" customWidth="1"/>
    <col min="12871" max="12872" width="1" style="38" customWidth="1"/>
    <col min="12873" max="12873" width="17.85546875" style="38" customWidth="1"/>
    <col min="12874" max="12875" width="1" style="38" customWidth="1"/>
    <col min="12876" max="12876" width="1.5703125" style="38" customWidth="1"/>
    <col min="12877" max="12877" width="0.7109375" style="38" customWidth="1"/>
    <col min="12878" max="12878" width="1.85546875" style="38" customWidth="1"/>
    <col min="12879" max="12879" width="10.7109375" style="38" customWidth="1"/>
    <col min="12880" max="12880" width="0" style="38" hidden="1" customWidth="1"/>
    <col min="12881" max="12986" width="10" style="38"/>
    <col min="12987" max="12987" width="1.5703125" style="38" customWidth="1"/>
    <col min="12988" max="12988" width="1.42578125" style="38" customWidth="1"/>
    <col min="12989" max="12989" width="57.5703125" style="38" customWidth="1"/>
    <col min="12990" max="12990" width="2.7109375" style="38" customWidth="1"/>
    <col min="12991" max="12991" width="0" style="38" hidden="1" customWidth="1"/>
    <col min="12992" max="12993" width="1" style="38" customWidth="1"/>
    <col min="12994" max="12994" width="19.7109375" style="38" customWidth="1"/>
    <col min="12995" max="12996" width="1" style="38" customWidth="1"/>
    <col min="12997" max="13021" width="0" style="38" hidden="1" customWidth="1"/>
    <col min="13022" max="13023" width="1" style="38" customWidth="1"/>
    <col min="13024" max="13024" width="17.85546875" style="38" customWidth="1"/>
    <col min="13025" max="13026" width="1" style="38" customWidth="1"/>
    <col min="13027" max="13056" width="0" style="38" hidden="1" customWidth="1"/>
    <col min="13057" max="13058" width="1" style="38" customWidth="1"/>
    <col min="13059" max="13059" width="17.85546875" style="38" customWidth="1"/>
    <col min="13060" max="13063" width="1" style="38" customWidth="1"/>
    <col min="13064" max="13064" width="17.85546875" style="38" customWidth="1"/>
    <col min="13065" max="13066" width="1" style="38" customWidth="1"/>
    <col min="13067" max="13085" width="0" style="38" hidden="1" customWidth="1"/>
    <col min="13086" max="13086" width="1" style="38" customWidth="1"/>
    <col min="13087" max="13091" width="0" style="38" hidden="1" customWidth="1"/>
    <col min="13092" max="13093" width="1" style="38" customWidth="1"/>
    <col min="13094" max="13094" width="17.85546875" style="38" customWidth="1"/>
    <col min="13095" max="13096" width="1" style="38" customWidth="1"/>
    <col min="13097" max="13126" width="0" style="38" hidden="1" customWidth="1"/>
    <col min="13127" max="13128" width="1" style="38" customWidth="1"/>
    <col min="13129" max="13129" width="17.85546875" style="38" customWidth="1"/>
    <col min="13130" max="13131" width="1" style="38" customWidth="1"/>
    <col min="13132" max="13132" width="1.5703125" style="38" customWidth="1"/>
    <col min="13133" max="13133" width="0.7109375" style="38" customWidth="1"/>
    <col min="13134" max="13134" width="1.85546875" style="38" customWidth="1"/>
    <col min="13135" max="13135" width="10.7109375" style="38" customWidth="1"/>
    <col min="13136" max="13136" width="0" style="38" hidden="1" customWidth="1"/>
    <col min="13137" max="13242" width="10" style="38"/>
    <col min="13243" max="13243" width="1.5703125" style="38" customWidth="1"/>
    <col min="13244" max="13244" width="1.42578125" style="38" customWidth="1"/>
    <col min="13245" max="13245" width="57.5703125" style="38" customWidth="1"/>
    <col min="13246" max="13246" width="2.7109375" style="38" customWidth="1"/>
    <col min="13247" max="13247" width="0" style="38" hidden="1" customWidth="1"/>
    <col min="13248" max="13249" width="1" style="38" customWidth="1"/>
    <col min="13250" max="13250" width="19.7109375" style="38" customWidth="1"/>
    <col min="13251" max="13252" width="1" style="38" customWidth="1"/>
    <col min="13253" max="13277" width="0" style="38" hidden="1" customWidth="1"/>
    <col min="13278" max="13279" width="1" style="38" customWidth="1"/>
    <col min="13280" max="13280" width="17.85546875" style="38" customWidth="1"/>
    <col min="13281" max="13282" width="1" style="38" customWidth="1"/>
    <col min="13283" max="13312" width="0" style="38" hidden="1" customWidth="1"/>
    <col min="13313" max="13314" width="1" style="38" customWidth="1"/>
    <col min="13315" max="13315" width="17.85546875" style="38" customWidth="1"/>
    <col min="13316" max="13319" width="1" style="38" customWidth="1"/>
    <col min="13320" max="13320" width="17.85546875" style="38" customWidth="1"/>
    <col min="13321" max="13322" width="1" style="38" customWidth="1"/>
    <col min="13323" max="13341" width="0" style="38" hidden="1" customWidth="1"/>
    <col min="13342" max="13342" width="1" style="38" customWidth="1"/>
    <col min="13343" max="13347" width="0" style="38" hidden="1" customWidth="1"/>
    <col min="13348" max="13349" width="1" style="38" customWidth="1"/>
    <col min="13350" max="13350" width="17.85546875" style="38" customWidth="1"/>
    <col min="13351" max="13352" width="1" style="38" customWidth="1"/>
    <col min="13353" max="13382" width="0" style="38" hidden="1" customWidth="1"/>
    <col min="13383" max="13384" width="1" style="38" customWidth="1"/>
    <col min="13385" max="13385" width="17.85546875" style="38" customWidth="1"/>
    <col min="13386" max="13387" width="1" style="38" customWidth="1"/>
    <col min="13388" max="13388" width="1.5703125" style="38" customWidth="1"/>
    <col min="13389" max="13389" width="0.7109375" style="38" customWidth="1"/>
    <col min="13390" max="13390" width="1.85546875" style="38" customWidth="1"/>
    <col min="13391" max="13391" width="10.7109375" style="38" customWidth="1"/>
    <col min="13392" max="13392" width="0" style="38" hidden="1" customWidth="1"/>
    <col min="13393" max="13498" width="10" style="38"/>
    <col min="13499" max="13499" width="1.5703125" style="38" customWidth="1"/>
    <col min="13500" max="13500" width="1.42578125" style="38" customWidth="1"/>
    <col min="13501" max="13501" width="57.5703125" style="38" customWidth="1"/>
    <col min="13502" max="13502" width="2.7109375" style="38" customWidth="1"/>
    <col min="13503" max="13503" width="0" style="38" hidden="1" customWidth="1"/>
    <col min="13504" max="13505" width="1" style="38" customWidth="1"/>
    <col min="13506" max="13506" width="19.7109375" style="38" customWidth="1"/>
    <col min="13507" max="13508" width="1" style="38" customWidth="1"/>
    <col min="13509" max="13533" width="0" style="38" hidden="1" customWidth="1"/>
    <col min="13534" max="13535" width="1" style="38" customWidth="1"/>
    <col min="13536" max="13536" width="17.85546875" style="38" customWidth="1"/>
    <col min="13537" max="13538" width="1" style="38" customWidth="1"/>
    <col min="13539" max="13568" width="0" style="38" hidden="1" customWidth="1"/>
    <col min="13569" max="13570" width="1" style="38" customWidth="1"/>
    <col min="13571" max="13571" width="17.85546875" style="38" customWidth="1"/>
    <col min="13572" max="13575" width="1" style="38" customWidth="1"/>
    <col min="13576" max="13576" width="17.85546875" style="38" customWidth="1"/>
    <col min="13577" max="13578" width="1" style="38" customWidth="1"/>
    <col min="13579" max="13597" width="0" style="38" hidden="1" customWidth="1"/>
    <col min="13598" max="13598" width="1" style="38" customWidth="1"/>
    <col min="13599" max="13603" width="0" style="38" hidden="1" customWidth="1"/>
    <col min="13604" max="13605" width="1" style="38" customWidth="1"/>
    <col min="13606" max="13606" width="17.85546875" style="38" customWidth="1"/>
    <col min="13607" max="13608" width="1" style="38" customWidth="1"/>
    <col min="13609" max="13638" width="0" style="38" hidden="1" customWidth="1"/>
    <col min="13639" max="13640" width="1" style="38" customWidth="1"/>
    <col min="13641" max="13641" width="17.85546875" style="38" customWidth="1"/>
    <col min="13642" max="13643" width="1" style="38" customWidth="1"/>
    <col min="13644" max="13644" width="1.5703125" style="38" customWidth="1"/>
    <col min="13645" max="13645" width="0.7109375" style="38" customWidth="1"/>
    <col min="13646" max="13646" width="1.85546875" style="38" customWidth="1"/>
    <col min="13647" max="13647" width="10.7109375" style="38" customWidth="1"/>
    <col min="13648" max="13648" width="0" style="38" hidden="1" customWidth="1"/>
    <col min="13649" max="13754" width="10" style="38"/>
    <col min="13755" max="13755" width="1.5703125" style="38" customWidth="1"/>
    <col min="13756" max="13756" width="1.42578125" style="38" customWidth="1"/>
    <col min="13757" max="13757" width="57.5703125" style="38" customWidth="1"/>
    <col min="13758" max="13758" width="2.7109375" style="38" customWidth="1"/>
    <col min="13759" max="13759" width="0" style="38" hidden="1" customWidth="1"/>
    <col min="13760" max="13761" width="1" style="38" customWidth="1"/>
    <col min="13762" max="13762" width="19.7109375" style="38" customWidth="1"/>
    <col min="13763" max="13764" width="1" style="38" customWidth="1"/>
    <col min="13765" max="13789" width="0" style="38" hidden="1" customWidth="1"/>
    <col min="13790" max="13791" width="1" style="38" customWidth="1"/>
    <col min="13792" max="13792" width="17.85546875" style="38" customWidth="1"/>
    <col min="13793" max="13794" width="1" style="38" customWidth="1"/>
    <col min="13795" max="13824" width="0" style="38" hidden="1" customWidth="1"/>
    <col min="13825" max="13826" width="1" style="38" customWidth="1"/>
    <col min="13827" max="13827" width="17.85546875" style="38" customWidth="1"/>
    <col min="13828" max="13831" width="1" style="38" customWidth="1"/>
    <col min="13832" max="13832" width="17.85546875" style="38" customWidth="1"/>
    <col min="13833" max="13834" width="1" style="38" customWidth="1"/>
    <col min="13835" max="13853" width="0" style="38" hidden="1" customWidth="1"/>
    <col min="13854" max="13854" width="1" style="38" customWidth="1"/>
    <col min="13855" max="13859" width="0" style="38" hidden="1" customWidth="1"/>
    <col min="13860" max="13861" width="1" style="38" customWidth="1"/>
    <col min="13862" max="13862" width="17.85546875" style="38" customWidth="1"/>
    <col min="13863" max="13864" width="1" style="38" customWidth="1"/>
    <col min="13865" max="13894" width="0" style="38" hidden="1" customWidth="1"/>
    <col min="13895" max="13896" width="1" style="38" customWidth="1"/>
    <col min="13897" max="13897" width="17.85546875" style="38" customWidth="1"/>
    <col min="13898" max="13899" width="1" style="38" customWidth="1"/>
    <col min="13900" max="13900" width="1.5703125" style="38" customWidth="1"/>
    <col min="13901" max="13901" width="0.7109375" style="38" customWidth="1"/>
    <col min="13902" max="13902" width="1.85546875" style="38" customWidth="1"/>
    <col min="13903" max="13903" width="10.7109375" style="38" customWidth="1"/>
    <col min="13904" max="13904" width="0" style="38" hidden="1" customWidth="1"/>
    <col min="13905" max="14010" width="10" style="38"/>
    <col min="14011" max="14011" width="1.5703125" style="38" customWidth="1"/>
    <col min="14012" max="14012" width="1.42578125" style="38" customWidth="1"/>
    <col min="14013" max="14013" width="57.5703125" style="38" customWidth="1"/>
    <col min="14014" max="14014" width="2.7109375" style="38" customWidth="1"/>
    <col min="14015" max="14015" width="0" style="38" hidden="1" customWidth="1"/>
    <col min="14016" max="14017" width="1" style="38" customWidth="1"/>
    <col min="14018" max="14018" width="19.7109375" style="38" customWidth="1"/>
    <col min="14019" max="14020" width="1" style="38" customWidth="1"/>
    <col min="14021" max="14045" width="0" style="38" hidden="1" customWidth="1"/>
    <col min="14046" max="14047" width="1" style="38" customWidth="1"/>
    <col min="14048" max="14048" width="17.85546875" style="38" customWidth="1"/>
    <col min="14049" max="14050" width="1" style="38" customWidth="1"/>
    <col min="14051" max="14080" width="0" style="38" hidden="1" customWidth="1"/>
    <col min="14081" max="14082" width="1" style="38" customWidth="1"/>
    <col min="14083" max="14083" width="17.85546875" style="38" customWidth="1"/>
    <col min="14084" max="14087" width="1" style="38" customWidth="1"/>
    <col min="14088" max="14088" width="17.85546875" style="38" customWidth="1"/>
    <col min="14089" max="14090" width="1" style="38" customWidth="1"/>
    <col min="14091" max="14109" width="0" style="38" hidden="1" customWidth="1"/>
    <col min="14110" max="14110" width="1" style="38" customWidth="1"/>
    <col min="14111" max="14115" width="0" style="38" hidden="1" customWidth="1"/>
    <col min="14116" max="14117" width="1" style="38" customWidth="1"/>
    <col min="14118" max="14118" width="17.85546875" style="38" customWidth="1"/>
    <col min="14119" max="14120" width="1" style="38" customWidth="1"/>
    <col min="14121" max="14150" width="0" style="38" hidden="1" customWidth="1"/>
    <col min="14151" max="14152" width="1" style="38" customWidth="1"/>
    <col min="14153" max="14153" width="17.85546875" style="38" customWidth="1"/>
    <col min="14154" max="14155" width="1" style="38" customWidth="1"/>
    <col min="14156" max="14156" width="1.5703125" style="38" customWidth="1"/>
    <col min="14157" max="14157" width="0.7109375" style="38" customWidth="1"/>
    <col min="14158" max="14158" width="1.85546875" style="38" customWidth="1"/>
    <col min="14159" max="14159" width="10.7109375" style="38" customWidth="1"/>
    <col min="14160" max="14160" width="0" style="38" hidden="1" customWidth="1"/>
    <col min="14161" max="14266" width="10" style="38"/>
    <col min="14267" max="14267" width="1.5703125" style="38" customWidth="1"/>
    <col min="14268" max="14268" width="1.42578125" style="38" customWidth="1"/>
    <col min="14269" max="14269" width="57.5703125" style="38" customWidth="1"/>
    <col min="14270" max="14270" width="2.7109375" style="38" customWidth="1"/>
    <col min="14271" max="14271" width="0" style="38" hidden="1" customWidth="1"/>
    <col min="14272" max="14273" width="1" style="38" customWidth="1"/>
    <col min="14274" max="14274" width="19.7109375" style="38" customWidth="1"/>
    <col min="14275" max="14276" width="1" style="38" customWidth="1"/>
    <col min="14277" max="14301" width="0" style="38" hidden="1" customWidth="1"/>
    <col min="14302" max="14303" width="1" style="38" customWidth="1"/>
    <col min="14304" max="14304" width="17.85546875" style="38" customWidth="1"/>
    <col min="14305" max="14306" width="1" style="38" customWidth="1"/>
    <col min="14307" max="14336" width="0" style="38" hidden="1" customWidth="1"/>
    <col min="14337" max="14338" width="1" style="38" customWidth="1"/>
    <col min="14339" max="14339" width="17.85546875" style="38" customWidth="1"/>
    <col min="14340" max="14343" width="1" style="38" customWidth="1"/>
    <col min="14344" max="14344" width="17.85546875" style="38" customWidth="1"/>
    <col min="14345" max="14346" width="1" style="38" customWidth="1"/>
    <col min="14347" max="14365" width="0" style="38" hidden="1" customWidth="1"/>
    <col min="14366" max="14366" width="1" style="38" customWidth="1"/>
    <col min="14367" max="14371" width="0" style="38" hidden="1" customWidth="1"/>
    <col min="14372" max="14373" width="1" style="38" customWidth="1"/>
    <col min="14374" max="14374" width="17.85546875" style="38" customWidth="1"/>
    <col min="14375" max="14376" width="1" style="38" customWidth="1"/>
    <col min="14377" max="14406" width="0" style="38" hidden="1" customWidth="1"/>
    <col min="14407" max="14408" width="1" style="38" customWidth="1"/>
    <col min="14409" max="14409" width="17.85546875" style="38" customWidth="1"/>
    <col min="14410" max="14411" width="1" style="38" customWidth="1"/>
    <col min="14412" max="14412" width="1.5703125" style="38" customWidth="1"/>
    <col min="14413" max="14413" width="0.7109375" style="38" customWidth="1"/>
    <col min="14414" max="14414" width="1.85546875" style="38" customWidth="1"/>
    <col min="14415" max="14415" width="10.7109375" style="38" customWidth="1"/>
    <col min="14416" max="14416" width="0" style="38" hidden="1" customWidth="1"/>
    <col min="14417" max="14522" width="10" style="38"/>
    <col min="14523" max="14523" width="1.5703125" style="38" customWidth="1"/>
    <col min="14524" max="14524" width="1.42578125" style="38" customWidth="1"/>
    <col min="14525" max="14525" width="57.5703125" style="38" customWidth="1"/>
    <col min="14526" max="14526" width="2.7109375" style="38" customWidth="1"/>
    <col min="14527" max="14527" width="0" style="38" hidden="1" customWidth="1"/>
    <col min="14528" max="14529" width="1" style="38" customWidth="1"/>
    <col min="14530" max="14530" width="19.7109375" style="38" customWidth="1"/>
    <col min="14531" max="14532" width="1" style="38" customWidth="1"/>
    <col min="14533" max="14557" width="0" style="38" hidden="1" customWidth="1"/>
    <col min="14558" max="14559" width="1" style="38" customWidth="1"/>
    <col min="14560" max="14560" width="17.85546875" style="38" customWidth="1"/>
    <col min="14561" max="14562" width="1" style="38" customWidth="1"/>
    <col min="14563" max="14592" width="0" style="38" hidden="1" customWidth="1"/>
    <col min="14593" max="14594" width="1" style="38" customWidth="1"/>
    <col min="14595" max="14595" width="17.85546875" style="38" customWidth="1"/>
    <col min="14596" max="14599" width="1" style="38" customWidth="1"/>
    <col min="14600" max="14600" width="17.85546875" style="38" customWidth="1"/>
    <col min="14601" max="14602" width="1" style="38" customWidth="1"/>
    <col min="14603" max="14621" width="0" style="38" hidden="1" customWidth="1"/>
    <col min="14622" max="14622" width="1" style="38" customWidth="1"/>
    <col min="14623" max="14627" width="0" style="38" hidden="1" customWidth="1"/>
    <col min="14628" max="14629" width="1" style="38" customWidth="1"/>
    <col min="14630" max="14630" width="17.85546875" style="38" customWidth="1"/>
    <col min="14631" max="14632" width="1" style="38" customWidth="1"/>
    <col min="14633" max="14662" width="0" style="38" hidden="1" customWidth="1"/>
    <col min="14663" max="14664" width="1" style="38" customWidth="1"/>
    <col min="14665" max="14665" width="17.85546875" style="38" customWidth="1"/>
    <col min="14666" max="14667" width="1" style="38" customWidth="1"/>
    <col min="14668" max="14668" width="1.5703125" style="38" customWidth="1"/>
    <col min="14669" max="14669" width="0.7109375" style="38" customWidth="1"/>
    <col min="14670" max="14670" width="1.85546875" style="38" customWidth="1"/>
    <col min="14671" max="14671" width="10.7109375" style="38" customWidth="1"/>
    <col min="14672" max="14672" width="0" style="38" hidden="1" customWidth="1"/>
    <col min="14673" max="14778" width="10" style="38"/>
    <col min="14779" max="14779" width="1.5703125" style="38" customWidth="1"/>
    <col min="14780" max="14780" width="1.42578125" style="38" customWidth="1"/>
    <col min="14781" max="14781" width="57.5703125" style="38" customWidth="1"/>
    <col min="14782" max="14782" width="2.7109375" style="38" customWidth="1"/>
    <col min="14783" max="14783" width="0" style="38" hidden="1" customWidth="1"/>
    <col min="14784" max="14785" width="1" style="38" customWidth="1"/>
    <col min="14786" max="14786" width="19.7109375" style="38" customWidth="1"/>
    <col min="14787" max="14788" width="1" style="38" customWidth="1"/>
    <col min="14789" max="14813" width="0" style="38" hidden="1" customWidth="1"/>
    <col min="14814" max="14815" width="1" style="38" customWidth="1"/>
    <col min="14816" max="14816" width="17.85546875" style="38" customWidth="1"/>
    <col min="14817" max="14818" width="1" style="38" customWidth="1"/>
    <col min="14819" max="14848" width="0" style="38" hidden="1" customWidth="1"/>
    <col min="14849" max="14850" width="1" style="38" customWidth="1"/>
    <col min="14851" max="14851" width="17.85546875" style="38" customWidth="1"/>
    <col min="14852" max="14855" width="1" style="38" customWidth="1"/>
    <col min="14856" max="14856" width="17.85546875" style="38" customWidth="1"/>
    <col min="14857" max="14858" width="1" style="38" customWidth="1"/>
    <col min="14859" max="14877" width="0" style="38" hidden="1" customWidth="1"/>
    <col min="14878" max="14878" width="1" style="38" customWidth="1"/>
    <col min="14879" max="14883" width="0" style="38" hidden="1" customWidth="1"/>
    <col min="14884" max="14885" width="1" style="38" customWidth="1"/>
    <col min="14886" max="14886" width="17.85546875" style="38" customWidth="1"/>
    <col min="14887" max="14888" width="1" style="38" customWidth="1"/>
    <col min="14889" max="14918" width="0" style="38" hidden="1" customWidth="1"/>
    <col min="14919" max="14920" width="1" style="38" customWidth="1"/>
    <col min="14921" max="14921" width="17.85546875" style="38" customWidth="1"/>
    <col min="14922" max="14923" width="1" style="38" customWidth="1"/>
    <col min="14924" max="14924" width="1.5703125" style="38" customWidth="1"/>
    <col min="14925" max="14925" width="0.7109375" style="38" customWidth="1"/>
    <col min="14926" max="14926" width="1.85546875" style="38" customWidth="1"/>
    <col min="14927" max="14927" width="10.7109375" style="38" customWidth="1"/>
    <col min="14928" max="14928" width="0" style="38" hidden="1" customWidth="1"/>
    <col min="14929" max="15034" width="10" style="38"/>
    <col min="15035" max="15035" width="1.5703125" style="38" customWidth="1"/>
    <col min="15036" max="15036" width="1.42578125" style="38" customWidth="1"/>
    <col min="15037" max="15037" width="57.5703125" style="38" customWidth="1"/>
    <col min="15038" max="15038" width="2.7109375" style="38" customWidth="1"/>
    <col min="15039" max="15039" width="0" style="38" hidden="1" customWidth="1"/>
    <col min="15040" max="15041" width="1" style="38" customWidth="1"/>
    <col min="15042" max="15042" width="19.7109375" style="38" customWidth="1"/>
    <col min="15043" max="15044" width="1" style="38" customWidth="1"/>
    <col min="15045" max="15069" width="0" style="38" hidden="1" customWidth="1"/>
    <col min="15070" max="15071" width="1" style="38" customWidth="1"/>
    <col min="15072" max="15072" width="17.85546875" style="38" customWidth="1"/>
    <col min="15073" max="15074" width="1" style="38" customWidth="1"/>
    <col min="15075" max="15104" width="0" style="38" hidden="1" customWidth="1"/>
    <col min="15105" max="15106" width="1" style="38" customWidth="1"/>
    <col min="15107" max="15107" width="17.85546875" style="38" customWidth="1"/>
    <col min="15108" max="15111" width="1" style="38" customWidth="1"/>
    <col min="15112" max="15112" width="17.85546875" style="38" customWidth="1"/>
    <col min="15113" max="15114" width="1" style="38" customWidth="1"/>
    <col min="15115" max="15133" width="0" style="38" hidden="1" customWidth="1"/>
    <col min="15134" max="15134" width="1" style="38" customWidth="1"/>
    <col min="15135" max="15139" width="0" style="38" hidden="1" customWidth="1"/>
    <col min="15140" max="15141" width="1" style="38" customWidth="1"/>
    <col min="15142" max="15142" width="17.85546875" style="38" customWidth="1"/>
    <col min="15143" max="15144" width="1" style="38" customWidth="1"/>
    <col min="15145" max="15174" width="0" style="38" hidden="1" customWidth="1"/>
    <col min="15175" max="15176" width="1" style="38" customWidth="1"/>
    <col min="15177" max="15177" width="17.85546875" style="38" customWidth="1"/>
    <col min="15178" max="15179" width="1" style="38" customWidth="1"/>
    <col min="15180" max="15180" width="1.5703125" style="38" customWidth="1"/>
    <col min="15181" max="15181" width="0.7109375" style="38" customWidth="1"/>
    <col min="15182" max="15182" width="1.85546875" style="38" customWidth="1"/>
    <col min="15183" max="15183" width="10.7109375" style="38" customWidth="1"/>
    <col min="15184" max="15184" width="0" style="38" hidden="1" customWidth="1"/>
    <col min="15185" max="15290" width="10" style="38"/>
    <col min="15291" max="15291" width="1.5703125" style="38" customWidth="1"/>
    <col min="15292" max="15292" width="1.42578125" style="38" customWidth="1"/>
    <col min="15293" max="15293" width="57.5703125" style="38" customWidth="1"/>
    <col min="15294" max="15294" width="2.7109375" style="38" customWidth="1"/>
    <col min="15295" max="15295" width="0" style="38" hidden="1" customWidth="1"/>
    <col min="15296" max="15297" width="1" style="38" customWidth="1"/>
    <col min="15298" max="15298" width="19.7109375" style="38" customWidth="1"/>
    <col min="15299" max="15300" width="1" style="38" customWidth="1"/>
    <col min="15301" max="15325" width="0" style="38" hidden="1" customWidth="1"/>
    <col min="15326" max="15327" width="1" style="38" customWidth="1"/>
    <col min="15328" max="15328" width="17.85546875" style="38" customWidth="1"/>
    <col min="15329" max="15330" width="1" style="38" customWidth="1"/>
    <col min="15331" max="15360" width="0" style="38" hidden="1" customWidth="1"/>
    <col min="15361" max="15362" width="1" style="38" customWidth="1"/>
    <col min="15363" max="15363" width="17.85546875" style="38" customWidth="1"/>
    <col min="15364" max="15367" width="1" style="38" customWidth="1"/>
    <col min="15368" max="15368" width="17.85546875" style="38" customWidth="1"/>
    <col min="15369" max="15370" width="1" style="38" customWidth="1"/>
    <col min="15371" max="15389" width="0" style="38" hidden="1" customWidth="1"/>
    <col min="15390" max="15390" width="1" style="38" customWidth="1"/>
    <col min="15391" max="15395" width="0" style="38" hidden="1" customWidth="1"/>
    <col min="15396" max="15397" width="1" style="38" customWidth="1"/>
    <col min="15398" max="15398" width="17.85546875" style="38" customWidth="1"/>
    <col min="15399" max="15400" width="1" style="38" customWidth="1"/>
    <col min="15401" max="15430" width="0" style="38" hidden="1" customWidth="1"/>
    <col min="15431" max="15432" width="1" style="38" customWidth="1"/>
    <col min="15433" max="15433" width="17.85546875" style="38" customWidth="1"/>
    <col min="15434" max="15435" width="1" style="38" customWidth="1"/>
    <col min="15436" max="15436" width="1.5703125" style="38" customWidth="1"/>
    <col min="15437" max="15437" width="0.7109375" style="38" customWidth="1"/>
    <col min="15438" max="15438" width="1.85546875" style="38" customWidth="1"/>
    <col min="15439" max="15439" width="10.7109375" style="38" customWidth="1"/>
    <col min="15440" max="15440" width="0" style="38" hidden="1" customWidth="1"/>
    <col min="15441" max="15546" width="10" style="38"/>
    <col min="15547" max="15547" width="1.5703125" style="38" customWidth="1"/>
    <col min="15548" max="15548" width="1.42578125" style="38" customWidth="1"/>
    <col min="15549" max="15549" width="57.5703125" style="38" customWidth="1"/>
    <col min="15550" max="15550" width="2.7109375" style="38" customWidth="1"/>
    <col min="15551" max="15551" width="0" style="38" hidden="1" customWidth="1"/>
    <col min="15552" max="15553" width="1" style="38" customWidth="1"/>
    <col min="15554" max="15554" width="19.7109375" style="38" customWidth="1"/>
    <col min="15555" max="15556" width="1" style="38" customWidth="1"/>
    <col min="15557" max="15581" width="0" style="38" hidden="1" customWidth="1"/>
    <col min="15582" max="15583" width="1" style="38" customWidth="1"/>
    <col min="15584" max="15584" width="17.85546875" style="38" customWidth="1"/>
    <col min="15585" max="15586" width="1" style="38" customWidth="1"/>
    <col min="15587" max="15616" width="0" style="38" hidden="1" customWidth="1"/>
    <col min="15617" max="15618" width="1" style="38" customWidth="1"/>
    <col min="15619" max="15619" width="17.85546875" style="38" customWidth="1"/>
    <col min="15620" max="15623" width="1" style="38" customWidth="1"/>
    <col min="15624" max="15624" width="17.85546875" style="38" customWidth="1"/>
    <col min="15625" max="15626" width="1" style="38" customWidth="1"/>
    <col min="15627" max="15645" width="0" style="38" hidden="1" customWidth="1"/>
    <col min="15646" max="15646" width="1" style="38" customWidth="1"/>
    <col min="15647" max="15651" width="0" style="38" hidden="1" customWidth="1"/>
    <col min="15652" max="15653" width="1" style="38" customWidth="1"/>
    <col min="15654" max="15654" width="17.85546875" style="38" customWidth="1"/>
    <col min="15655" max="15656" width="1" style="38" customWidth="1"/>
    <col min="15657" max="15686" width="0" style="38" hidden="1" customWidth="1"/>
    <col min="15687" max="15688" width="1" style="38" customWidth="1"/>
    <col min="15689" max="15689" width="17.85546875" style="38" customWidth="1"/>
    <col min="15690" max="15691" width="1" style="38" customWidth="1"/>
    <col min="15692" max="15692" width="1.5703125" style="38" customWidth="1"/>
    <col min="15693" max="15693" width="0.7109375" style="38" customWidth="1"/>
    <col min="15694" max="15694" width="1.85546875" style="38" customWidth="1"/>
    <col min="15695" max="15695" width="10.7109375" style="38" customWidth="1"/>
    <col min="15696" max="15696" width="0" style="38" hidden="1" customWidth="1"/>
    <col min="15697" max="15802" width="10" style="38"/>
    <col min="15803" max="15803" width="1.5703125" style="38" customWidth="1"/>
    <col min="15804" max="15804" width="1.42578125" style="38" customWidth="1"/>
    <col min="15805" max="15805" width="57.5703125" style="38" customWidth="1"/>
    <col min="15806" max="15806" width="2.7109375" style="38" customWidth="1"/>
    <col min="15807" max="15807" width="0" style="38" hidden="1" customWidth="1"/>
    <col min="15808" max="15809" width="1" style="38" customWidth="1"/>
    <col min="15810" max="15810" width="19.7109375" style="38" customWidth="1"/>
    <col min="15811" max="15812" width="1" style="38" customWidth="1"/>
    <col min="15813" max="15837" width="0" style="38" hidden="1" customWidth="1"/>
    <col min="15838" max="15839" width="1" style="38" customWidth="1"/>
    <col min="15840" max="15840" width="17.85546875" style="38" customWidth="1"/>
    <col min="15841" max="15842" width="1" style="38" customWidth="1"/>
    <col min="15843" max="15872" width="0" style="38" hidden="1" customWidth="1"/>
    <col min="15873" max="15874" width="1" style="38" customWidth="1"/>
    <col min="15875" max="15875" width="17.85546875" style="38" customWidth="1"/>
    <col min="15876" max="15879" width="1" style="38" customWidth="1"/>
    <col min="15880" max="15880" width="17.85546875" style="38" customWidth="1"/>
    <col min="15881" max="15882" width="1" style="38" customWidth="1"/>
    <col min="15883" max="15901" width="0" style="38" hidden="1" customWidth="1"/>
    <col min="15902" max="15902" width="1" style="38" customWidth="1"/>
    <col min="15903" max="15907" width="0" style="38" hidden="1" customWidth="1"/>
    <col min="15908" max="15909" width="1" style="38" customWidth="1"/>
    <col min="15910" max="15910" width="17.85546875" style="38" customWidth="1"/>
    <col min="15911" max="15912" width="1" style="38" customWidth="1"/>
    <col min="15913" max="15942" width="0" style="38" hidden="1" customWidth="1"/>
    <col min="15943" max="15944" width="1" style="38" customWidth="1"/>
    <col min="15945" max="15945" width="17.85546875" style="38" customWidth="1"/>
    <col min="15946" max="15947" width="1" style="38" customWidth="1"/>
    <col min="15948" max="15948" width="1.5703125" style="38" customWidth="1"/>
    <col min="15949" max="15949" width="0.7109375" style="38" customWidth="1"/>
    <col min="15950" max="15950" width="1.85546875" style="38" customWidth="1"/>
    <col min="15951" max="15951" width="10.7109375" style="38" customWidth="1"/>
    <col min="15952" max="15952" width="0" style="38" hidden="1" customWidth="1"/>
    <col min="15953" max="16058" width="10" style="38"/>
    <col min="16059" max="16059" width="1.5703125" style="38" customWidth="1"/>
    <col min="16060" max="16060" width="1.42578125" style="38" customWidth="1"/>
    <col min="16061" max="16061" width="57.5703125" style="38" customWidth="1"/>
    <col min="16062" max="16062" width="2.7109375" style="38" customWidth="1"/>
    <col min="16063" max="16063" width="0" style="38" hidden="1" customWidth="1"/>
    <col min="16064" max="16065" width="1" style="38" customWidth="1"/>
    <col min="16066" max="16066" width="19.7109375" style="38" customWidth="1"/>
    <col min="16067" max="16068" width="1" style="38" customWidth="1"/>
    <col min="16069" max="16093" width="0" style="38" hidden="1" customWidth="1"/>
    <col min="16094" max="16095" width="1" style="38" customWidth="1"/>
    <col min="16096" max="16096" width="17.85546875" style="38" customWidth="1"/>
    <col min="16097" max="16098" width="1" style="38" customWidth="1"/>
    <col min="16099" max="16128" width="0" style="38" hidden="1" customWidth="1"/>
    <col min="16129" max="16130" width="1" style="38" customWidth="1"/>
    <col min="16131" max="16131" width="17.85546875" style="38" customWidth="1"/>
    <col min="16132" max="16135" width="1" style="38" customWidth="1"/>
    <col min="16136" max="16136" width="17.85546875" style="38" customWidth="1"/>
    <col min="16137" max="16138" width="1" style="38" customWidth="1"/>
    <col min="16139" max="16157" width="0" style="38" hidden="1" customWidth="1"/>
    <col min="16158" max="16158" width="1" style="38" customWidth="1"/>
    <col min="16159" max="16163" width="0" style="38" hidden="1" customWidth="1"/>
    <col min="16164" max="16165" width="1" style="38" customWidth="1"/>
    <col min="16166" max="16166" width="17.85546875" style="38" customWidth="1"/>
    <col min="16167" max="16168" width="1" style="38" customWidth="1"/>
    <col min="16169" max="16198" width="0" style="38" hidden="1" customWidth="1"/>
    <col min="16199" max="16200" width="1" style="38" customWidth="1"/>
    <col min="16201" max="16201" width="17.85546875" style="38" customWidth="1"/>
    <col min="16202" max="16203" width="1" style="38" customWidth="1"/>
    <col min="16204" max="16204" width="1.5703125" style="38" customWidth="1"/>
    <col min="16205" max="16205" width="0.7109375" style="38" customWidth="1"/>
    <col min="16206" max="16206" width="1.85546875" style="38" customWidth="1"/>
    <col min="16207" max="16207" width="10.7109375" style="38" customWidth="1"/>
    <col min="16208" max="16208" width="0" style="38" hidden="1" customWidth="1"/>
    <col min="16209" max="16384" width="10" style="38"/>
  </cols>
  <sheetData>
    <row r="1" spans="1:80" x14ac:dyDescent="0.2">
      <c r="BX1" s="377"/>
      <c r="BY1" s="38"/>
    </row>
    <row r="2" spans="1:80" ht="5.25"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row>
    <row r="3" spans="1:80" x14ac:dyDescent="0.2">
      <c r="A3" s="377"/>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row>
    <row r="4" spans="1:80" x14ac:dyDescent="0.2">
      <c r="A4" s="377"/>
      <c r="B4" s="377"/>
      <c r="C4" s="411"/>
      <c r="D4" s="411"/>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row>
    <row r="5" spans="1:80" x14ac:dyDescent="0.2">
      <c r="A5" s="377"/>
      <c r="B5" s="377"/>
      <c r="D5" s="411"/>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row>
    <row r="6" spans="1:80" x14ac:dyDescent="0.2">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row>
    <row r="7" spans="1:80" ht="15" customHeight="1" x14ac:dyDescent="0.25">
      <c r="A7" s="377"/>
      <c r="B7" s="377"/>
      <c r="C7" s="581" t="s">
        <v>327</v>
      </c>
      <c r="D7" s="448"/>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77"/>
      <c r="BA7" s="377"/>
      <c r="BB7" s="377"/>
      <c r="BC7" s="377"/>
      <c r="BD7" s="377"/>
      <c r="BE7" s="377"/>
      <c r="BF7" s="377"/>
      <c r="BG7" s="377"/>
      <c r="BH7" s="377"/>
      <c r="BI7" s="377"/>
      <c r="BJ7" s="377"/>
      <c r="BK7" s="377"/>
      <c r="BL7" s="377"/>
      <c r="BM7" s="377"/>
      <c r="BN7" s="377"/>
      <c r="BO7" s="377"/>
      <c r="BP7" s="377"/>
      <c r="BQ7" s="377"/>
      <c r="BR7" s="377"/>
      <c r="BS7" s="377"/>
      <c r="BT7" s="377"/>
      <c r="BU7" s="377"/>
      <c r="BV7" s="377"/>
      <c r="BW7" s="377"/>
      <c r="BX7" s="377"/>
    </row>
    <row r="8" spans="1:80" x14ac:dyDescent="0.2">
      <c r="A8" s="377"/>
      <c r="B8" s="377"/>
      <c r="C8" s="538"/>
      <c r="D8" s="377"/>
      <c r="E8" s="582"/>
      <c r="F8" s="583"/>
      <c r="G8" s="584"/>
      <c r="H8" s="712" t="s">
        <v>3</v>
      </c>
      <c r="I8" s="712"/>
      <c r="J8" s="712"/>
      <c r="K8" s="712"/>
      <c r="L8" s="712"/>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585"/>
      <c r="BW8" s="585"/>
      <c r="BX8" s="465"/>
    </row>
    <row r="9" spans="1:80" ht="18" customHeight="1" x14ac:dyDescent="0.2">
      <c r="A9" s="377"/>
      <c r="B9" s="377"/>
      <c r="C9" s="465"/>
      <c r="D9" s="377"/>
      <c r="E9" s="171" t="s">
        <v>21</v>
      </c>
      <c r="F9" s="153"/>
      <c r="G9" s="137"/>
      <c r="H9" s="137" t="s">
        <v>5</v>
      </c>
      <c r="I9" s="137"/>
      <c r="J9" s="137"/>
      <c r="K9" s="153"/>
      <c r="L9" s="137"/>
      <c r="M9" s="137" t="s">
        <v>6</v>
      </c>
      <c r="N9" s="137"/>
      <c r="O9" s="137"/>
      <c r="P9" s="153"/>
      <c r="Q9" s="137"/>
      <c r="R9" s="137" t="s">
        <v>7</v>
      </c>
      <c r="S9" s="137"/>
      <c r="T9" s="137"/>
      <c r="U9" s="153"/>
      <c r="V9" s="137"/>
      <c r="W9" s="137" t="s">
        <v>8</v>
      </c>
      <c r="X9" s="137"/>
      <c r="Y9" s="137"/>
      <c r="Z9" s="153"/>
      <c r="AA9" s="137"/>
      <c r="AB9" s="137" t="s">
        <v>9</v>
      </c>
      <c r="AC9" s="137"/>
      <c r="AD9" s="137"/>
      <c r="AE9" s="153"/>
      <c r="AF9" s="137"/>
      <c r="AG9" s="137" t="s">
        <v>10</v>
      </c>
      <c r="AH9" s="137"/>
      <c r="AI9" s="137"/>
      <c r="AJ9" s="153"/>
      <c r="AK9" s="137"/>
      <c r="AL9" s="137" t="s">
        <v>11</v>
      </c>
      <c r="AM9" s="137"/>
      <c r="AN9" s="137"/>
      <c r="AO9" s="153"/>
      <c r="AP9" s="137"/>
      <c r="AQ9" s="137" t="s">
        <v>12</v>
      </c>
      <c r="AR9" s="137"/>
      <c r="AS9" s="137"/>
      <c r="AT9" s="153"/>
      <c r="AU9" s="137"/>
      <c r="AV9" s="137" t="s">
        <v>13</v>
      </c>
      <c r="AW9" s="137"/>
      <c r="AX9" s="137"/>
      <c r="AY9" s="153"/>
      <c r="AZ9" s="137"/>
      <c r="BA9" s="137" t="s">
        <v>14</v>
      </c>
      <c r="BB9" s="137"/>
      <c r="BC9" s="137"/>
      <c r="BD9" s="153"/>
      <c r="BE9" s="137"/>
      <c r="BF9" s="137" t="s">
        <v>15</v>
      </c>
      <c r="BG9" s="137"/>
      <c r="BH9" s="137"/>
      <c r="BI9" s="153"/>
      <c r="BJ9" s="137"/>
      <c r="BK9" s="137" t="s">
        <v>16</v>
      </c>
      <c r="BL9" s="137"/>
      <c r="BM9" s="137"/>
      <c r="BN9" s="153"/>
      <c r="BO9" s="137"/>
      <c r="BP9" s="137" t="s">
        <v>17</v>
      </c>
      <c r="BQ9" s="137"/>
      <c r="BR9" s="137"/>
      <c r="BS9" s="153"/>
      <c r="BT9" s="137"/>
      <c r="BU9" s="137" t="s">
        <v>18</v>
      </c>
      <c r="BV9" s="137"/>
      <c r="BW9" s="137"/>
      <c r="BX9" s="465"/>
    </row>
    <row r="10" spans="1:80" ht="14.25" customHeight="1" x14ac:dyDescent="0.2">
      <c r="A10" s="377"/>
      <c r="B10" s="377"/>
      <c r="C10" s="459" t="s">
        <v>20</v>
      </c>
      <c r="D10" s="464"/>
      <c r="E10" s="207"/>
      <c r="F10" s="463"/>
      <c r="G10" s="208"/>
      <c r="H10" s="208" t="s">
        <v>22</v>
      </c>
      <c r="I10" s="208"/>
      <c r="J10" s="208"/>
      <c r="K10" s="463"/>
      <c r="L10" s="208"/>
      <c r="M10" s="208"/>
      <c r="N10" s="208"/>
      <c r="O10" s="208"/>
      <c r="P10" s="463"/>
      <c r="Q10" s="208"/>
      <c r="R10" s="208"/>
      <c r="S10" s="208"/>
      <c r="T10" s="208"/>
      <c r="U10" s="463"/>
      <c r="V10" s="208"/>
      <c r="W10" s="208"/>
      <c r="X10" s="208"/>
      <c r="Y10" s="208"/>
      <c r="Z10" s="463"/>
      <c r="AA10" s="208"/>
      <c r="AB10" s="208"/>
      <c r="AC10" s="208"/>
      <c r="AD10" s="208"/>
      <c r="AE10" s="463"/>
      <c r="AF10" s="208"/>
      <c r="AG10" s="208"/>
      <c r="AH10" s="208"/>
      <c r="AI10" s="208"/>
      <c r="AJ10" s="463"/>
      <c r="AK10" s="208"/>
      <c r="AL10" s="208"/>
      <c r="AM10" s="208"/>
      <c r="AN10" s="208"/>
      <c r="AO10" s="463"/>
      <c r="AP10" s="208"/>
      <c r="AQ10" s="208"/>
      <c r="AR10" s="208"/>
      <c r="AS10" s="208"/>
      <c r="AT10" s="463"/>
      <c r="AU10" s="208"/>
      <c r="AV10" s="208"/>
      <c r="AW10" s="208"/>
      <c r="AX10" s="208"/>
      <c r="AY10" s="463"/>
      <c r="AZ10" s="208"/>
      <c r="BA10" s="208"/>
      <c r="BB10" s="208"/>
      <c r="BC10" s="208"/>
      <c r="BD10" s="463"/>
      <c r="BE10" s="208"/>
      <c r="BF10" s="208"/>
      <c r="BG10" s="208"/>
      <c r="BH10" s="208"/>
      <c r="BI10" s="463"/>
      <c r="BJ10" s="208"/>
      <c r="BK10" s="208"/>
      <c r="BL10" s="208"/>
      <c r="BM10" s="208"/>
      <c r="BN10" s="463"/>
      <c r="BO10" s="208"/>
      <c r="BP10" s="208"/>
      <c r="BQ10" s="208"/>
      <c r="BR10" s="208"/>
      <c r="BS10" s="463"/>
      <c r="BT10" s="208"/>
      <c r="BU10" s="208"/>
      <c r="BV10" s="208"/>
      <c r="BW10" s="208"/>
      <c r="BX10" s="465"/>
    </row>
    <row r="11" spans="1:80" x14ac:dyDescent="0.2">
      <c r="A11" s="377"/>
      <c r="B11" s="377"/>
      <c r="C11" s="465"/>
      <c r="D11" s="377"/>
      <c r="E11" s="586"/>
      <c r="F11" s="417"/>
      <c r="G11" s="377"/>
      <c r="H11" s="377"/>
      <c r="I11" s="377"/>
      <c r="J11" s="377"/>
      <c r="K11" s="417"/>
      <c r="L11" s="377"/>
      <c r="M11" s="377"/>
      <c r="N11" s="377"/>
      <c r="O11" s="377"/>
      <c r="P11" s="417"/>
      <c r="Q11" s="377"/>
      <c r="R11" s="377"/>
      <c r="S11" s="377"/>
      <c r="T11" s="377"/>
      <c r="U11" s="417"/>
      <c r="V11" s="377"/>
      <c r="W11" s="377"/>
      <c r="X11" s="377"/>
      <c r="Y11" s="377"/>
      <c r="Z11" s="417"/>
      <c r="AA11" s="377"/>
      <c r="AB11" s="377"/>
      <c r="AC11" s="377"/>
      <c r="AD11" s="377"/>
      <c r="AE11" s="417"/>
      <c r="AF11" s="377"/>
      <c r="AG11" s="377"/>
      <c r="AH11" s="377"/>
      <c r="AI11" s="377"/>
      <c r="AJ11" s="417"/>
      <c r="AK11" s="377"/>
      <c r="AL11" s="377"/>
      <c r="AM11" s="377"/>
      <c r="AN11" s="377"/>
      <c r="AO11" s="417"/>
      <c r="AP11" s="377"/>
      <c r="AQ11" s="377"/>
      <c r="AR11" s="377"/>
      <c r="AS11" s="377"/>
      <c r="AT11" s="417"/>
      <c r="AU11" s="377"/>
      <c r="AV11" s="377"/>
      <c r="AW11" s="377"/>
      <c r="AX11" s="377"/>
      <c r="AY11" s="417"/>
      <c r="AZ11" s="377"/>
      <c r="BA11" s="377"/>
      <c r="BB11" s="377"/>
      <c r="BC11" s="377"/>
      <c r="BD11" s="417"/>
      <c r="BE11" s="377"/>
      <c r="BF11" s="377"/>
      <c r="BG11" s="377"/>
      <c r="BH11" s="377"/>
      <c r="BI11" s="417"/>
      <c r="BJ11" s="377"/>
      <c r="BK11" s="377"/>
      <c r="BL11" s="377"/>
      <c r="BM11" s="377"/>
      <c r="BN11" s="417"/>
      <c r="BO11" s="377"/>
      <c r="BP11" s="377"/>
      <c r="BQ11" s="377"/>
      <c r="BR11" s="377"/>
      <c r="BS11" s="417"/>
      <c r="BT11" s="377"/>
      <c r="BU11" s="377"/>
      <c r="BV11" s="377"/>
      <c r="BW11" s="377"/>
      <c r="BX11" s="465"/>
    </row>
    <row r="12" spans="1:80" x14ac:dyDescent="0.2">
      <c r="A12" s="377"/>
      <c r="B12" s="377"/>
      <c r="C12" s="465"/>
      <c r="D12" s="377"/>
      <c r="E12" s="586"/>
      <c r="F12" s="417"/>
      <c r="G12" s="377"/>
      <c r="H12" s="377"/>
      <c r="I12" s="377"/>
      <c r="J12" s="377"/>
      <c r="K12" s="417"/>
      <c r="L12" s="377"/>
      <c r="M12" s="377"/>
      <c r="N12" s="377"/>
      <c r="O12" s="377"/>
      <c r="P12" s="417"/>
      <c r="Q12" s="377"/>
      <c r="R12" s="377"/>
      <c r="S12" s="377"/>
      <c r="T12" s="377"/>
      <c r="U12" s="417"/>
      <c r="V12" s="377"/>
      <c r="W12" s="377"/>
      <c r="X12" s="377"/>
      <c r="Y12" s="377"/>
      <c r="Z12" s="417"/>
      <c r="AA12" s="377"/>
      <c r="AB12" s="377"/>
      <c r="AC12" s="377"/>
      <c r="AD12" s="377"/>
      <c r="AE12" s="417"/>
      <c r="AF12" s="377"/>
      <c r="AG12" s="377"/>
      <c r="AH12" s="377"/>
      <c r="AI12" s="377"/>
      <c r="AJ12" s="417"/>
      <c r="AK12" s="377"/>
      <c r="AL12" s="377"/>
      <c r="AM12" s="377"/>
      <c r="AN12" s="377"/>
      <c r="AO12" s="417"/>
      <c r="AP12" s="377"/>
      <c r="AQ12" s="377"/>
      <c r="AR12" s="377"/>
      <c r="AS12" s="377"/>
      <c r="AT12" s="417"/>
      <c r="AU12" s="377"/>
      <c r="AV12" s="377"/>
      <c r="AW12" s="377"/>
      <c r="AX12" s="377"/>
      <c r="AY12" s="417"/>
      <c r="AZ12" s="377"/>
      <c r="BA12" s="377"/>
      <c r="BB12" s="377"/>
      <c r="BC12" s="377"/>
      <c r="BD12" s="417"/>
      <c r="BE12" s="377"/>
      <c r="BF12" s="377"/>
      <c r="BG12" s="377"/>
      <c r="BH12" s="377"/>
      <c r="BI12" s="417"/>
      <c r="BJ12" s="377"/>
      <c r="BK12" s="377"/>
      <c r="BL12" s="377"/>
      <c r="BM12" s="377"/>
      <c r="BN12" s="417"/>
      <c r="BO12" s="377"/>
      <c r="BP12" s="377"/>
      <c r="BQ12" s="377"/>
      <c r="BR12" s="377"/>
      <c r="BS12" s="417"/>
      <c r="BT12" s="377"/>
      <c r="BU12" s="377"/>
      <c r="BV12" s="377"/>
      <c r="BW12" s="377"/>
      <c r="BX12" s="465"/>
    </row>
    <row r="13" spans="1:80" s="410" customFormat="1" x14ac:dyDescent="0.2">
      <c r="A13" s="411"/>
      <c r="B13" s="411"/>
      <c r="C13" s="455" t="s">
        <v>36</v>
      </c>
      <c r="D13" s="411"/>
      <c r="E13" s="587"/>
      <c r="F13" s="485"/>
      <c r="G13" s="411"/>
      <c r="H13" s="411">
        <f>+H14+H21</f>
        <v>146000000</v>
      </c>
      <c r="I13" s="411"/>
      <c r="J13" s="411"/>
      <c r="K13" s="485"/>
      <c r="L13" s="411"/>
      <c r="M13" s="588">
        <f>+M14+M21</f>
        <v>37582688</v>
      </c>
      <c r="N13" s="411"/>
      <c r="O13" s="411"/>
      <c r="P13" s="485"/>
      <c r="Q13" s="411"/>
      <c r="R13" s="588">
        <f>+R14+R21</f>
        <v>16125619</v>
      </c>
      <c r="S13" s="411"/>
      <c r="T13" s="411"/>
      <c r="U13" s="485"/>
      <c r="V13" s="411"/>
      <c r="W13" s="588">
        <f>+W14+W21</f>
        <v>11567828</v>
      </c>
      <c r="X13" s="411"/>
      <c r="Y13" s="411"/>
      <c r="Z13" s="485"/>
      <c r="AA13" s="411"/>
      <c r="AB13" s="588">
        <f>+AB14+AB21</f>
        <v>26289577</v>
      </c>
      <c r="AC13" s="411"/>
      <c r="AD13" s="411"/>
      <c r="AE13" s="485"/>
      <c r="AF13" s="411"/>
      <c r="AG13" s="588">
        <f>+AG14+AG21</f>
        <v>-5974831</v>
      </c>
      <c r="AH13" s="411"/>
      <c r="AI13" s="411"/>
      <c r="AJ13" s="485"/>
      <c r="AK13" s="411"/>
      <c r="AL13" s="588">
        <f>+AL14+AL21</f>
        <v>1315362</v>
      </c>
      <c r="AM13" s="411"/>
      <c r="AN13" s="411"/>
      <c r="AO13" s="485"/>
      <c r="AP13" s="411"/>
      <c r="AQ13" s="588">
        <f>+AQ14+AQ21</f>
        <v>0</v>
      </c>
      <c r="AR13" s="411"/>
      <c r="AS13" s="411"/>
      <c r="AT13" s="485"/>
      <c r="AU13" s="411"/>
      <c r="AV13" s="588">
        <f>+AV14+AV21</f>
        <v>0</v>
      </c>
      <c r="AW13" s="411"/>
      <c r="AX13" s="411"/>
      <c r="AY13" s="485"/>
      <c r="AZ13" s="411"/>
      <c r="BA13" s="588">
        <f>+BA14+BA21</f>
        <v>0</v>
      </c>
      <c r="BB13" s="411"/>
      <c r="BC13" s="411"/>
      <c r="BD13" s="485"/>
      <c r="BE13" s="411"/>
      <c r="BF13" s="588">
        <f>+BF14+BF21</f>
        <v>0</v>
      </c>
      <c r="BG13" s="411"/>
      <c r="BH13" s="411"/>
      <c r="BI13" s="485"/>
      <c r="BJ13" s="411"/>
      <c r="BK13" s="588">
        <f>+BK14+BK21</f>
        <v>0</v>
      </c>
      <c r="BL13" s="588"/>
      <c r="BM13" s="588"/>
      <c r="BN13" s="589"/>
      <c r="BO13" s="588"/>
      <c r="BP13" s="588">
        <f>+BP14+BP21</f>
        <v>0</v>
      </c>
      <c r="BQ13" s="411"/>
      <c r="BR13" s="411"/>
      <c r="BS13" s="485"/>
      <c r="BT13" s="411"/>
      <c r="BU13" s="411">
        <f>+BU14+BU21</f>
        <v>86906243</v>
      </c>
      <c r="BV13" s="411"/>
      <c r="BW13" s="411"/>
      <c r="BX13" s="455"/>
      <c r="BY13" s="411"/>
      <c r="CB13" s="410" t="e">
        <f>#REF!-#REF!</f>
        <v>#REF!</v>
      </c>
    </row>
    <row r="14" spans="1:80" x14ac:dyDescent="0.2">
      <c r="A14" s="377"/>
      <c r="B14" s="377"/>
      <c r="C14" s="465" t="s">
        <v>328</v>
      </c>
      <c r="D14" s="377"/>
      <c r="E14" s="586"/>
      <c r="F14" s="417"/>
      <c r="G14" s="469"/>
      <c r="H14" s="466">
        <f>SUM(H15:H19)</f>
        <v>146000000</v>
      </c>
      <c r="I14" s="529"/>
      <c r="J14" s="377"/>
      <c r="K14" s="417"/>
      <c r="L14" s="469"/>
      <c r="M14" s="590">
        <f>SUM(M15:M19)</f>
        <v>3561000</v>
      </c>
      <c r="N14" s="529"/>
      <c r="O14" s="377"/>
      <c r="P14" s="417"/>
      <c r="Q14" s="469"/>
      <c r="R14" s="590">
        <f>SUM(R15:R19)</f>
        <v>10247350</v>
      </c>
      <c r="S14" s="529"/>
      <c r="T14" s="377"/>
      <c r="U14" s="417"/>
      <c r="V14" s="469"/>
      <c r="W14" s="590">
        <f>SUM(W15:W19)</f>
        <v>11808200</v>
      </c>
      <c r="X14" s="529"/>
      <c r="Y14" s="377"/>
      <c r="Z14" s="417"/>
      <c r="AA14" s="469"/>
      <c r="AB14" s="590">
        <f>SUM(AB15:AB19)</f>
        <v>16584620</v>
      </c>
      <c r="AC14" s="529"/>
      <c r="AD14" s="377"/>
      <c r="AE14" s="417"/>
      <c r="AF14" s="469"/>
      <c r="AG14" s="590">
        <f>SUM(AG15:AG19)</f>
        <v>12547400</v>
      </c>
      <c r="AH14" s="529"/>
      <c r="AI14" s="377"/>
      <c r="AJ14" s="417"/>
      <c r="AK14" s="469"/>
      <c r="AL14" s="590">
        <f>SUM(AL15:AL19)</f>
        <v>17988450</v>
      </c>
      <c r="AM14" s="529"/>
      <c r="AN14" s="377"/>
      <c r="AO14" s="417"/>
      <c r="AP14" s="469"/>
      <c r="AQ14" s="590">
        <f>SUM(AQ15:AQ19)</f>
        <v>0</v>
      </c>
      <c r="AR14" s="529"/>
      <c r="AS14" s="377"/>
      <c r="AT14" s="417"/>
      <c r="AU14" s="469"/>
      <c r="AV14" s="590">
        <f>SUM(AV15:AV19)</f>
        <v>0</v>
      </c>
      <c r="AW14" s="529"/>
      <c r="AX14" s="377"/>
      <c r="AY14" s="417"/>
      <c r="AZ14" s="469"/>
      <c r="BA14" s="590">
        <f>SUM(BA15:BA19)</f>
        <v>0</v>
      </c>
      <c r="BB14" s="529"/>
      <c r="BC14" s="377"/>
      <c r="BD14" s="417"/>
      <c r="BE14" s="469"/>
      <c r="BF14" s="590">
        <f>SUM(BF15:BF19)</f>
        <v>0</v>
      </c>
      <c r="BG14" s="529"/>
      <c r="BH14" s="377"/>
      <c r="BI14" s="417"/>
      <c r="BJ14" s="469"/>
      <c r="BK14" s="590">
        <f>SUM(BK15:BK19)</f>
        <v>0</v>
      </c>
      <c r="BL14" s="529"/>
      <c r="BM14" s="377"/>
      <c r="BN14" s="417"/>
      <c r="BO14" s="469"/>
      <c r="BP14" s="591">
        <f>SUM(BP15:BP19)</f>
        <v>0</v>
      </c>
      <c r="BQ14" s="529"/>
      <c r="BR14" s="377"/>
      <c r="BS14" s="417"/>
      <c r="BT14" s="469"/>
      <c r="BU14" s="466">
        <f>SUM(BU15:BU19)</f>
        <v>72737020</v>
      </c>
      <c r="BV14" s="529"/>
      <c r="BW14" s="377"/>
      <c r="BX14" s="465"/>
      <c r="CA14" s="410"/>
      <c r="CB14" s="410" t="e">
        <f>#REF!-#REF!</f>
        <v>#REF!</v>
      </c>
    </row>
    <row r="15" spans="1:80" hidden="1" x14ac:dyDescent="0.2">
      <c r="A15" s="377"/>
      <c r="B15" s="377"/>
      <c r="C15" s="258" t="s">
        <v>329</v>
      </c>
      <c r="D15" s="259"/>
      <c r="E15" s="586"/>
      <c r="F15" s="417"/>
      <c r="G15" s="417"/>
      <c r="H15" s="592">
        <v>0</v>
      </c>
      <c r="I15" s="531"/>
      <c r="J15" s="377"/>
      <c r="K15" s="417"/>
      <c r="L15" s="417"/>
      <c r="M15" s="593">
        <v>0</v>
      </c>
      <c r="N15" s="531"/>
      <c r="O15" s="377"/>
      <c r="P15" s="417"/>
      <c r="Q15" s="417"/>
      <c r="R15" s="593">
        <v>0</v>
      </c>
      <c r="S15" s="531"/>
      <c r="T15" s="377"/>
      <c r="U15" s="417"/>
      <c r="V15" s="417"/>
      <c r="W15" s="593">
        <v>0</v>
      </c>
      <c r="X15" s="531"/>
      <c r="Y15" s="377"/>
      <c r="Z15" s="417"/>
      <c r="AA15" s="417"/>
      <c r="AB15" s="593">
        <v>0</v>
      </c>
      <c r="AC15" s="531"/>
      <c r="AD15" s="377"/>
      <c r="AE15" s="417"/>
      <c r="AF15" s="417"/>
      <c r="AG15" s="593">
        <v>0</v>
      </c>
      <c r="AH15" s="531"/>
      <c r="AI15" s="377"/>
      <c r="AJ15" s="417"/>
      <c r="AK15" s="417"/>
      <c r="AL15" s="593">
        <v>0</v>
      </c>
      <c r="AM15" s="531"/>
      <c r="AN15" s="377"/>
      <c r="AO15" s="417"/>
      <c r="AP15" s="417"/>
      <c r="AQ15" s="593">
        <v>0</v>
      </c>
      <c r="AR15" s="531"/>
      <c r="AS15" s="377"/>
      <c r="AT15" s="417"/>
      <c r="AU15" s="417"/>
      <c r="AV15" s="593">
        <v>0</v>
      </c>
      <c r="AW15" s="531"/>
      <c r="AX15" s="377"/>
      <c r="AY15" s="417"/>
      <c r="AZ15" s="417"/>
      <c r="BA15" s="593">
        <v>0</v>
      </c>
      <c r="BB15" s="531"/>
      <c r="BC15" s="377"/>
      <c r="BD15" s="417"/>
      <c r="BE15" s="417"/>
      <c r="BF15" s="593">
        <v>0</v>
      </c>
      <c r="BG15" s="531"/>
      <c r="BH15" s="377"/>
      <c r="BI15" s="417"/>
      <c r="BJ15" s="417"/>
      <c r="BK15" s="593">
        <v>0</v>
      </c>
      <c r="BL15" s="531"/>
      <c r="BM15" s="377"/>
      <c r="BN15" s="417"/>
      <c r="BO15" s="417"/>
      <c r="BP15" s="593">
        <v>0</v>
      </c>
      <c r="BQ15" s="531"/>
      <c r="BR15" s="377"/>
      <c r="BS15" s="417"/>
      <c r="BT15" s="417"/>
      <c r="BU15" s="593">
        <f>SUM(M15:BP15)</f>
        <v>0</v>
      </c>
      <c r="BV15" s="531"/>
      <c r="BW15" s="377"/>
      <c r="BX15" s="465"/>
      <c r="CA15" s="410"/>
      <c r="CB15" s="410" t="e">
        <f>#REF!-#REF!</f>
        <v>#REF!</v>
      </c>
    </row>
    <row r="16" spans="1:80" x14ac:dyDescent="0.2">
      <c r="A16" s="377"/>
      <c r="B16" s="377"/>
      <c r="C16" s="258" t="s">
        <v>330</v>
      </c>
      <c r="D16" s="259"/>
      <c r="E16" s="586"/>
      <c r="F16" s="417"/>
      <c r="G16" s="417"/>
      <c r="H16" s="592">
        <v>7600000</v>
      </c>
      <c r="I16" s="531"/>
      <c r="J16" s="377"/>
      <c r="K16" s="417"/>
      <c r="L16" s="417"/>
      <c r="M16" s="593">
        <v>1151700</v>
      </c>
      <c r="N16" s="531"/>
      <c r="O16" s="377"/>
      <c r="P16" s="417"/>
      <c r="Q16" s="417"/>
      <c r="R16" s="593">
        <v>3396850</v>
      </c>
      <c r="S16" s="531"/>
      <c r="T16" s="377"/>
      <c r="U16" s="417"/>
      <c r="V16" s="417"/>
      <c r="W16" s="593">
        <v>3277100</v>
      </c>
      <c r="X16" s="531"/>
      <c r="Y16" s="377"/>
      <c r="Z16" s="417"/>
      <c r="AA16" s="417"/>
      <c r="AB16" s="593">
        <v>1390400</v>
      </c>
      <c r="AC16" s="531"/>
      <c r="AD16" s="377"/>
      <c r="AE16" s="417"/>
      <c r="AF16" s="417"/>
      <c r="AG16" s="593">
        <v>-727100</v>
      </c>
      <c r="AH16" s="531"/>
      <c r="AI16" s="377"/>
      <c r="AJ16" s="417"/>
      <c r="AK16" s="417"/>
      <c r="AL16" s="593">
        <v>-1077800</v>
      </c>
      <c r="AM16" s="531"/>
      <c r="AN16" s="377"/>
      <c r="AO16" s="417"/>
      <c r="AP16" s="417"/>
      <c r="AQ16" s="593">
        <v>0</v>
      </c>
      <c r="AR16" s="531"/>
      <c r="AS16" s="377"/>
      <c r="AT16" s="417"/>
      <c r="AU16" s="417"/>
      <c r="AV16" s="593">
        <v>0</v>
      </c>
      <c r="AW16" s="531"/>
      <c r="AX16" s="377"/>
      <c r="AY16" s="417"/>
      <c r="AZ16" s="417"/>
      <c r="BA16" s="593">
        <v>0</v>
      </c>
      <c r="BB16" s="531"/>
      <c r="BC16" s="377"/>
      <c r="BD16" s="418"/>
      <c r="BE16" s="417"/>
      <c r="BF16" s="593">
        <v>0</v>
      </c>
      <c r="BG16" s="531"/>
      <c r="BH16" s="377"/>
      <c r="BI16" s="417"/>
      <c r="BJ16" s="417"/>
      <c r="BK16" s="593">
        <v>0</v>
      </c>
      <c r="BL16" s="531"/>
      <c r="BM16" s="377"/>
      <c r="BN16" s="417"/>
      <c r="BO16" s="417"/>
      <c r="BP16" s="418">
        <v>0</v>
      </c>
      <c r="BQ16" s="531"/>
      <c r="BR16" s="377"/>
      <c r="BS16" s="417"/>
      <c r="BT16" s="417"/>
      <c r="BU16" s="593">
        <f>SUM(M16:BP16)</f>
        <v>7411150</v>
      </c>
      <c r="BV16" s="531"/>
      <c r="BW16" s="377"/>
      <c r="BX16" s="465"/>
      <c r="CA16" s="410"/>
      <c r="CB16" s="410" t="e">
        <f>#REF!-#REF!</f>
        <v>#REF!</v>
      </c>
    </row>
    <row r="17" spans="1:80" x14ac:dyDescent="0.2">
      <c r="A17" s="377"/>
      <c r="B17" s="377"/>
      <c r="C17" s="258" t="s">
        <v>331</v>
      </c>
      <c r="D17" s="259"/>
      <c r="E17" s="586"/>
      <c r="F17" s="417"/>
      <c r="G17" s="417"/>
      <c r="H17" s="594">
        <v>22966000</v>
      </c>
      <c r="I17" s="531"/>
      <c r="J17" s="377"/>
      <c r="K17" s="417"/>
      <c r="L17" s="417"/>
      <c r="M17" s="418">
        <v>-102350</v>
      </c>
      <c r="N17" s="531"/>
      <c r="O17" s="377"/>
      <c r="P17" s="417"/>
      <c r="Q17" s="417"/>
      <c r="R17" s="418">
        <v>4585900</v>
      </c>
      <c r="S17" s="531"/>
      <c r="T17" s="377"/>
      <c r="U17" s="417"/>
      <c r="V17" s="417"/>
      <c r="W17" s="418">
        <v>5164300</v>
      </c>
      <c r="X17" s="531"/>
      <c r="Y17" s="377"/>
      <c r="Z17" s="417"/>
      <c r="AA17" s="417"/>
      <c r="AB17" s="418">
        <v>4295800</v>
      </c>
      <c r="AC17" s="531"/>
      <c r="AD17" s="377"/>
      <c r="AE17" s="417"/>
      <c r="AF17" s="417"/>
      <c r="AG17" s="418">
        <v>4060000</v>
      </c>
      <c r="AH17" s="531"/>
      <c r="AI17" s="377"/>
      <c r="AJ17" s="417"/>
      <c r="AK17" s="417"/>
      <c r="AL17" s="418">
        <v>4689950</v>
      </c>
      <c r="AM17" s="531"/>
      <c r="AN17" s="377"/>
      <c r="AO17" s="417"/>
      <c r="AP17" s="417"/>
      <c r="AQ17" s="418">
        <v>0</v>
      </c>
      <c r="AR17" s="531"/>
      <c r="AS17" s="377"/>
      <c r="AT17" s="417"/>
      <c r="AU17" s="417"/>
      <c r="AV17" s="418">
        <v>0</v>
      </c>
      <c r="AW17" s="531"/>
      <c r="AX17" s="377"/>
      <c r="AY17" s="417"/>
      <c r="AZ17" s="417"/>
      <c r="BA17" s="418">
        <v>0</v>
      </c>
      <c r="BB17" s="531"/>
      <c r="BC17" s="377"/>
      <c r="BD17" s="417"/>
      <c r="BE17" s="417"/>
      <c r="BF17" s="418">
        <v>0</v>
      </c>
      <c r="BG17" s="531"/>
      <c r="BH17" s="377"/>
      <c r="BI17" s="417"/>
      <c r="BJ17" s="417"/>
      <c r="BK17" s="418">
        <v>0</v>
      </c>
      <c r="BL17" s="531"/>
      <c r="BM17" s="377"/>
      <c r="BN17" s="417"/>
      <c r="BO17" s="417"/>
      <c r="BP17" s="418">
        <v>0</v>
      </c>
      <c r="BQ17" s="531"/>
      <c r="BR17" s="377"/>
      <c r="BS17" s="417"/>
      <c r="BT17" s="417"/>
      <c r="BU17" s="418">
        <f>SUM(M17:BP17)</f>
        <v>22693600</v>
      </c>
      <c r="BV17" s="531"/>
      <c r="BW17" s="377"/>
      <c r="BX17" s="465"/>
      <c r="CA17" s="410"/>
      <c r="CB17" s="410" t="e">
        <f>#REF!-#REF!</f>
        <v>#REF!</v>
      </c>
    </row>
    <row r="18" spans="1:80" x14ac:dyDescent="0.2">
      <c r="A18" s="377"/>
      <c r="B18" s="377"/>
      <c r="C18" s="258" t="s">
        <v>332</v>
      </c>
      <c r="D18" s="259"/>
      <c r="E18" s="586"/>
      <c r="F18" s="417"/>
      <c r="G18" s="417"/>
      <c r="H18" s="594">
        <v>49507000</v>
      </c>
      <c r="I18" s="531"/>
      <c r="J18" s="377"/>
      <c r="K18" s="417"/>
      <c r="L18" s="417"/>
      <c r="M18" s="418">
        <v>830100</v>
      </c>
      <c r="N18" s="531"/>
      <c r="O18" s="377"/>
      <c r="P18" s="417"/>
      <c r="Q18" s="417"/>
      <c r="R18" s="418">
        <v>1373600</v>
      </c>
      <c r="S18" s="531"/>
      <c r="T18" s="377"/>
      <c r="U18" s="417"/>
      <c r="V18" s="417"/>
      <c r="W18" s="418">
        <v>1756500</v>
      </c>
      <c r="X18" s="531"/>
      <c r="Y18" s="377"/>
      <c r="Z18" s="417"/>
      <c r="AA18" s="417"/>
      <c r="AB18" s="418">
        <v>4166600</v>
      </c>
      <c r="AC18" s="531"/>
      <c r="AD18" s="377"/>
      <c r="AE18" s="417"/>
      <c r="AF18" s="417"/>
      <c r="AG18" s="418">
        <v>4360000</v>
      </c>
      <c r="AH18" s="531"/>
      <c r="AI18" s="377"/>
      <c r="AJ18" s="417"/>
      <c r="AK18" s="417"/>
      <c r="AL18" s="418">
        <v>7501300</v>
      </c>
      <c r="AM18" s="531"/>
      <c r="AN18" s="377"/>
      <c r="AO18" s="417"/>
      <c r="AP18" s="417"/>
      <c r="AQ18" s="418">
        <v>0</v>
      </c>
      <c r="AR18" s="531"/>
      <c r="AS18" s="377"/>
      <c r="AT18" s="417"/>
      <c r="AU18" s="417"/>
      <c r="AV18" s="418">
        <v>0</v>
      </c>
      <c r="AW18" s="531"/>
      <c r="AX18" s="377"/>
      <c r="AY18" s="417"/>
      <c r="AZ18" s="417"/>
      <c r="BA18" s="418">
        <v>0</v>
      </c>
      <c r="BB18" s="531"/>
      <c r="BC18" s="377"/>
      <c r="BD18" s="417"/>
      <c r="BE18" s="417"/>
      <c r="BF18" s="418">
        <v>0</v>
      </c>
      <c r="BG18" s="531"/>
      <c r="BH18" s="377"/>
      <c r="BI18" s="417"/>
      <c r="BJ18" s="417"/>
      <c r="BK18" s="418">
        <v>0</v>
      </c>
      <c r="BL18" s="531"/>
      <c r="BM18" s="377"/>
      <c r="BN18" s="417"/>
      <c r="BO18" s="417"/>
      <c r="BP18" s="418">
        <v>0</v>
      </c>
      <c r="BQ18" s="531"/>
      <c r="BR18" s="377"/>
      <c r="BS18" s="417"/>
      <c r="BT18" s="417"/>
      <c r="BU18" s="418">
        <f>SUM(M18:BP18)</f>
        <v>19988100</v>
      </c>
      <c r="BV18" s="531"/>
      <c r="BW18" s="377"/>
      <c r="BX18" s="465"/>
      <c r="CA18" s="410"/>
      <c r="CB18" s="410" t="e">
        <f>#REF!-#REF!</f>
        <v>#REF!</v>
      </c>
    </row>
    <row r="19" spans="1:80" x14ac:dyDescent="0.2">
      <c r="A19" s="377"/>
      <c r="B19" s="377"/>
      <c r="C19" s="258" t="s">
        <v>333</v>
      </c>
      <c r="D19" s="259"/>
      <c r="E19" s="586"/>
      <c r="F19" s="417"/>
      <c r="G19" s="417"/>
      <c r="H19" s="595">
        <v>65927000</v>
      </c>
      <c r="I19" s="531"/>
      <c r="J19" s="377"/>
      <c r="K19" s="417"/>
      <c r="L19" s="417"/>
      <c r="M19" s="596">
        <v>1681550</v>
      </c>
      <c r="N19" s="531"/>
      <c r="O19" s="377"/>
      <c r="P19" s="417"/>
      <c r="Q19" s="417"/>
      <c r="R19" s="596">
        <v>891000</v>
      </c>
      <c r="S19" s="531"/>
      <c r="T19" s="377"/>
      <c r="U19" s="417"/>
      <c r="V19" s="417"/>
      <c r="W19" s="596">
        <v>1610300</v>
      </c>
      <c r="X19" s="531"/>
      <c r="Y19" s="377"/>
      <c r="Z19" s="417"/>
      <c r="AA19" s="417"/>
      <c r="AB19" s="596">
        <v>6731820</v>
      </c>
      <c r="AC19" s="531"/>
      <c r="AD19" s="377"/>
      <c r="AE19" s="417"/>
      <c r="AF19" s="417"/>
      <c r="AG19" s="596">
        <v>4854500</v>
      </c>
      <c r="AH19" s="531"/>
      <c r="AI19" s="377"/>
      <c r="AJ19" s="417"/>
      <c r="AK19" s="417"/>
      <c r="AL19" s="596">
        <v>6875000</v>
      </c>
      <c r="AM19" s="531"/>
      <c r="AN19" s="377"/>
      <c r="AO19" s="417"/>
      <c r="AP19" s="417"/>
      <c r="AQ19" s="596">
        <v>0</v>
      </c>
      <c r="AR19" s="531"/>
      <c r="AS19" s="377"/>
      <c r="AT19" s="417"/>
      <c r="AU19" s="417"/>
      <c r="AV19" s="596">
        <v>0</v>
      </c>
      <c r="AW19" s="531"/>
      <c r="AX19" s="377"/>
      <c r="AY19" s="417"/>
      <c r="AZ19" s="417"/>
      <c r="BA19" s="596">
        <v>0</v>
      </c>
      <c r="BB19" s="531"/>
      <c r="BC19" s="377"/>
      <c r="BD19" s="417"/>
      <c r="BE19" s="417"/>
      <c r="BF19" s="596">
        <v>0</v>
      </c>
      <c r="BG19" s="531"/>
      <c r="BH19" s="377"/>
      <c r="BI19" s="417"/>
      <c r="BJ19" s="417"/>
      <c r="BK19" s="596">
        <v>0</v>
      </c>
      <c r="BL19" s="531"/>
      <c r="BM19" s="377"/>
      <c r="BN19" s="417"/>
      <c r="BO19" s="417"/>
      <c r="BP19" s="596">
        <v>0</v>
      </c>
      <c r="BQ19" s="531"/>
      <c r="BR19" s="377"/>
      <c r="BS19" s="417"/>
      <c r="BT19" s="417"/>
      <c r="BU19" s="596">
        <f>SUM(M19:BP19)</f>
        <v>22644170</v>
      </c>
      <c r="BV19" s="531"/>
      <c r="BW19" s="377"/>
      <c r="BX19" s="465"/>
      <c r="CA19" s="410"/>
      <c r="CB19" s="410" t="e">
        <f>#REF!-#REF!</f>
        <v>#REF!</v>
      </c>
    </row>
    <row r="20" spans="1:80" x14ac:dyDescent="0.2">
      <c r="A20" s="377"/>
      <c r="B20" s="377"/>
      <c r="C20" s="465"/>
      <c r="D20" s="377"/>
      <c r="E20" s="586"/>
      <c r="F20" s="417"/>
      <c r="G20" s="417"/>
      <c r="H20" s="377"/>
      <c r="I20" s="531"/>
      <c r="J20" s="377"/>
      <c r="K20" s="417"/>
      <c r="L20" s="417"/>
      <c r="M20" s="377"/>
      <c r="N20" s="531"/>
      <c r="O20" s="377"/>
      <c r="P20" s="417"/>
      <c r="Q20" s="417"/>
      <c r="R20" s="377"/>
      <c r="S20" s="531"/>
      <c r="T20" s="377"/>
      <c r="U20" s="417"/>
      <c r="V20" s="417"/>
      <c r="W20" s="377"/>
      <c r="X20" s="531"/>
      <c r="Y20" s="377"/>
      <c r="Z20" s="417"/>
      <c r="AA20" s="417"/>
      <c r="AB20" s="377"/>
      <c r="AC20" s="531"/>
      <c r="AD20" s="377"/>
      <c r="AE20" s="417"/>
      <c r="AF20" s="417"/>
      <c r="AG20" s="377"/>
      <c r="AH20" s="531"/>
      <c r="AI20" s="377"/>
      <c r="AJ20" s="417"/>
      <c r="AK20" s="417"/>
      <c r="AL20" s="377"/>
      <c r="AM20" s="531"/>
      <c r="AN20" s="377"/>
      <c r="AO20" s="417"/>
      <c r="AP20" s="417"/>
      <c r="AQ20" s="377"/>
      <c r="AR20" s="531"/>
      <c r="AS20" s="377"/>
      <c r="AT20" s="417"/>
      <c r="AU20" s="417"/>
      <c r="AV20" s="377"/>
      <c r="AW20" s="531"/>
      <c r="AX20" s="377"/>
      <c r="AY20" s="417"/>
      <c r="AZ20" s="417"/>
      <c r="BA20" s="377"/>
      <c r="BB20" s="531"/>
      <c r="BC20" s="377"/>
      <c r="BD20" s="417"/>
      <c r="BE20" s="417"/>
      <c r="BF20" s="377"/>
      <c r="BG20" s="531"/>
      <c r="BH20" s="377"/>
      <c r="BI20" s="417"/>
      <c r="BJ20" s="417"/>
      <c r="BK20" s="377"/>
      <c r="BL20" s="531"/>
      <c r="BM20" s="377"/>
      <c r="BN20" s="417"/>
      <c r="BO20" s="417"/>
      <c r="BP20" s="377"/>
      <c r="BQ20" s="531"/>
      <c r="BR20" s="377"/>
      <c r="BS20" s="417"/>
      <c r="BT20" s="417"/>
      <c r="BU20" s="377"/>
      <c r="BV20" s="531"/>
      <c r="BW20" s="377"/>
      <c r="BX20" s="465"/>
      <c r="CA20" s="410"/>
      <c r="CB20" s="410" t="e">
        <f>#REF!-#REF!</f>
        <v>#REF!</v>
      </c>
    </row>
    <row r="21" spans="1:80" x14ac:dyDescent="0.2">
      <c r="A21" s="377"/>
      <c r="B21" s="377"/>
      <c r="C21" s="562" t="s">
        <v>334</v>
      </c>
      <c r="D21" s="259"/>
      <c r="E21" s="586"/>
      <c r="F21" s="417"/>
      <c r="G21" s="478"/>
      <c r="H21" s="532">
        <v>0</v>
      </c>
      <c r="I21" s="533"/>
      <c r="J21" s="377"/>
      <c r="K21" s="417"/>
      <c r="L21" s="478"/>
      <c r="M21" s="462">
        <v>34021688</v>
      </c>
      <c r="N21" s="533"/>
      <c r="O21" s="377"/>
      <c r="P21" s="417"/>
      <c r="Q21" s="478"/>
      <c r="R21" s="462">
        <v>5878269</v>
      </c>
      <c r="S21" s="533"/>
      <c r="T21" s="377"/>
      <c r="U21" s="417"/>
      <c r="V21" s="478"/>
      <c r="W21" s="462">
        <v>-240372</v>
      </c>
      <c r="X21" s="533"/>
      <c r="Y21" s="377"/>
      <c r="Z21" s="417"/>
      <c r="AA21" s="478"/>
      <c r="AB21" s="462">
        <v>9704957</v>
      </c>
      <c r="AC21" s="533"/>
      <c r="AD21" s="377"/>
      <c r="AE21" s="417"/>
      <c r="AF21" s="478"/>
      <c r="AG21" s="462">
        <v>-18522231</v>
      </c>
      <c r="AH21" s="533"/>
      <c r="AI21" s="377"/>
      <c r="AJ21" s="417"/>
      <c r="AK21" s="478"/>
      <c r="AL21" s="462">
        <v>-16673088</v>
      </c>
      <c r="AM21" s="533"/>
      <c r="AN21" s="377"/>
      <c r="AO21" s="417"/>
      <c r="AP21" s="478"/>
      <c r="AQ21" s="462">
        <v>0</v>
      </c>
      <c r="AR21" s="533"/>
      <c r="AS21" s="377"/>
      <c r="AT21" s="417"/>
      <c r="AU21" s="478"/>
      <c r="AV21" s="462">
        <v>0</v>
      </c>
      <c r="AW21" s="533"/>
      <c r="AX21" s="377"/>
      <c r="AY21" s="417"/>
      <c r="AZ21" s="478"/>
      <c r="BA21" s="462">
        <v>0</v>
      </c>
      <c r="BB21" s="533"/>
      <c r="BC21" s="377"/>
      <c r="BD21" s="417"/>
      <c r="BE21" s="478"/>
      <c r="BF21" s="462">
        <v>0</v>
      </c>
      <c r="BG21" s="533"/>
      <c r="BH21" s="377"/>
      <c r="BI21" s="417"/>
      <c r="BJ21" s="478"/>
      <c r="BK21" s="462">
        <v>0</v>
      </c>
      <c r="BL21" s="533"/>
      <c r="BM21" s="377"/>
      <c r="BN21" s="417"/>
      <c r="BO21" s="478"/>
      <c r="BP21" s="462">
        <v>0</v>
      </c>
      <c r="BQ21" s="533"/>
      <c r="BR21" s="377"/>
      <c r="BS21" s="417"/>
      <c r="BT21" s="478"/>
      <c r="BU21" s="462">
        <f>SUM(M21:BP21)</f>
        <v>14169223</v>
      </c>
      <c r="BV21" s="533"/>
      <c r="BW21" s="377"/>
      <c r="BX21" s="465"/>
      <c r="CA21" s="410"/>
      <c r="CB21" s="410" t="e">
        <f>#REF!-#REF!</f>
        <v>#REF!</v>
      </c>
    </row>
    <row r="22" spans="1:80" x14ac:dyDescent="0.2">
      <c r="A22" s="377"/>
      <c r="B22" s="377"/>
      <c r="C22" s="465"/>
      <c r="D22" s="377"/>
      <c r="E22" s="586"/>
      <c r="F22" s="482"/>
      <c r="G22" s="378"/>
      <c r="H22" s="377"/>
      <c r="I22" s="377"/>
      <c r="J22" s="377"/>
      <c r="K22" s="417"/>
      <c r="L22" s="377"/>
      <c r="M22" s="377"/>
      <c r="N22" s="377"/>
      <c r="O22" s="377"/>
      <c r="P22" s="417"/>
      <c r="Q22" s="377"/>
      <c r="R22" s="377"/>
      <c r="S22" s="377"/>
      <c r="T22" s="377"/>
      <c r="U22" s="417"/>
      <c r="V22" s="377"/>
      <c r="W22" s="377"/>
      <c r="X22" s="377"/>
      <c r="Y22" s="377"/>
      <c r="Z22" s="417"/>
      <c r="AA22" s="377"/>
      <c r="AB22" s="377"/>
      <c r="AC22" s="377"/>
      <c r="AD22" s="377"/>
      <c r="AE22" s="417"/>
      <c r="AF22" s="377"/>
      <c r="AG22" s="377"/>
      <c r="AH22" s="377"/>
      <c r="AI22" s="377"/>
      <c r="AJ22" s="417"/>
      <c r="AK22" s="377"/>
      <c r="AL22" s="377"/>
      <c r="AM22" s="377"/>
      <c r="AN22" s="377"/>
      <c r="AO22" s="417"/>
      <c r="AP22" s="377"/>
      <c r="AQ22" s="377"/>
      <c r="AR22" s="377"/>
      <c r="AS22" s="377"/>
      <c r="AT22" s="417"/>
      <c r="AU22" s="377"/>
      <c r="AV22" s="377"/>
      <c r="AW22" s="377"/>
      <c r="AX22" s="377"/>
      <c r="AY22" s="417"/>
      <c r="AZ22" s="377"/>
      <c r="BA22" s="377"/>
      <c r="BB22" s="377"/>
      <c r="BC22" s="377"/>
      <c r="BD22" s="417"/>
      <c r="BE22" s="377"/>
      <c r="BF22" s="377"/>
      <c r="BG22" s="377"/>
      <c r="BH22" s="377"/>
      <c r="BI22" s="417"/>
      <c r="BJ22" s="377"/>
      <c r="BK22" s="377"/>
      <c r="BL22" s="377"/>
      <c r="BM22" s="377"/>
      <c r="BN22" s="417"/>
      <c r="BO22" s="377"/>
      <c r="BP22" s="377"/>
      <c r="BQ22" s="377"/>
      <c r="BR22" s="377"/>
      <c r="BS22" s="417"/>
      <c r="BT22" s="377"/>
      <c r="BU22" s="377"/>
      <c r="BV22" s="377"/>
      <c r="BW22" s="377"/>
      <c r="BX22" s="465"/>
      <c r="CA22" s="410"/>
      <c r="CB22" s="410" t="e">
        <f>#REF!-#REF!</f>
        <v>#REF!</v>
      </c>
    </row>
    <row r="23" spans="1:80" s="410" customFormat="1" x14ac:dyDescent="0.2">
      <c r="A23" s="411"/>
      <c r="B23" s="411"/>
      <c r="C23" s="455" t="s">
        <v>37</v>
      </c>
      <c r="D23" s="411"/>
      <c r="E23" s="587"/>
      <c r="F23" s="487"/>
      <c r="G23" s="486"/>
      <c r="H23" s="411">
        <f>H24+H30+H35+H39</f>
        <v>410035000</v>
      </c>
      <c r="I23" s="411"/>
      <c r="J23" s="411"/>
      <c r="K23" s="485"/>
      <c r="L23" s="411"/>
      <c r="M23" s="411">
        <f>M24+M30+M35</f>
        <v>32850713</v>
      </c>
      <c r="N23" s="411"/>
      <c r="O23" s="411"/>
      <c r="P23" s="485"/>
      <c r="Q23" s="411"/>
      <c r="R23" s="411">
        <f>R24+R30+R35+R39</f>
        <v>40638036.743999995</v>
      </c>
      <c r="S23" s="411"/>
      <c r="T23" s="411"/>
      <c r="U23" s="485"/>
      <c r="V23" s="411"/>
      <c r="W23" s="411">
        <f>W24+W30+W35+W39</f>
        <v>43402900</v>
      </c>
      <c r="X23" s="411"/>
      <c r="Y23" s="411"/>
      <c r="Z23" s="485"/>
      <c r="AA23" s="411"/>
      <c r="AB23" s="411">
        <f>AB24+AB30+AB35+AB39</f>
        <v>60600922</v>
      </c>
      <c r="AC23" s="411"/>
      <c r="AD23" s="411"/>
      <c r="AE23" s="485"/>
      <c r="AF23" s="411"/>
      <c r="AG23" s="411">
        <f>AG24+AG30+AG35+AG39</f>
        <v>37229982</v>
      </c>
      <c r="AH23" s="411"/>
      <c r="AI23" s="411"/>
      <c r="AJ23" s="485"/>
      <c r="AK23" s="411"/>
      <c r="AL23" s="411">
        <f>AL24+AL30+AL35+AL39</f>
        <v>50427153</v>
      </c>
      <c r="AM23" s="411"/>
      <c r="AN23" s="411"/>
      <c r="AO23" s="485"/>
      <c r="AP23" s="411"/>
      <c r="AQ23" s="411">
        <f>AQ24+AQ30+AQ35+AQ39</f>
        <v>0</v>
      </c>
      <c r="AR23" s="411"/>
      <c r="AS23" s="411"/>
      <c r="AT23" s="485"/>
      <c r="AU23" s="411"/>
      <c r="AV23" s="411">
        <f>AV24+AV30+AV35+AV39</f>
        <v>0</v>
      </c>
      <c r="AW23" s="411"/>
      <c r="AX23" s="411"/>
      <c r="AY23" s="485"/>
      <c r="AZ23" s="411"/>
      <c r="BA23" s="411">
        <f>BA24+BA30+BA35+BA39</f>
        <v>0</v>
      </c>
      <c r="BB23" s="411"/>
      <c r="BC23" s="411"/>
      <c r="BD23" s="485"/>
      <c r="BE23" s="411"/>
      <c r="BF23" s="411">
        <f>BF24+BF30+BF35+BF39</f>
        <v>0</v>
      </c>
      <c r="BG23" s="411"/>
      <c r="BH23" s="411"/>
      <c r="BI23" s="485"/>
      <c r="BJ23" s="411"/>
      <c r="BK23" s="411">
        <f>BK24+BK30+BK35+BK39</f>
        <v>0</v>
      </c>
      <c r="BL23" s="411"/>
      <c r="BM23" s="411"/>
      <c r="BN23" s="485"/>
      <c r="BO23" s="411"/>
      <c r="BP23" s="411">
        <f>BP24+BP30+BP35+BP39</f>
        <v>0</v>
      </c>
      <c r="BQ23" s="411"/>
      <c r="BR23" s="411"/>
      <c r="BS23" s="485"/>
      <c r="BT23" s="411"/>
      <c r="BU23" s="411">
        <f>BU24+BU30+BU35+BU39</f>
        <v>265149706.74399996</v>
      </c>
      <c r="BV23" s="411"/>
      <c r="BW23" s="411"/>
      <c r="BX23" s="455"/>
      <c r="BY23" s="411"/>
      <c r="CB23" s="410" t="e">
        <f>#REF!-#REF!</f>
        <v>#REF!</v>
      </c>
    </row>
    <row r="24" spans="1:80" x14ac:dyDescent="0.2">
      <c r="A24" s="377"/>
      <c r="B24" s="377"/>
      <c r="C24" s="465" t="s">
        <v>335</v>
      </c>
      <c r="D24" s="377"/>
      <c r="E24" s="586"/>
      <c r="F24" s="482"/>
      <c r="G24" s="539"/>
      <c r="H24" s="466">
        <f>SUM(H25:H28)</f>
        <v>410035000</v>
      </c>
      <c r="I24" s="529"/>
      <c r="J24" s="377"/>
      <c r="K24" s="417"/>
      <c r="L24" s="469"/>
      <c r="M24" s="466">
        <f>SUM(M25:M28)</f>
        <v>32850713</v>
      </c>
      <c r="N24" s="529"/>
      <c r="O24" s="377"/>
      <c r="P24" s="417"/>
      <c r="Q24" s="469"/>
      <c r="R24" s="466">
        <f>SUM(R25:R28)</f>
        <v>40638036.743999995</v>
      </c>
      <c r="S24" s="529"/>
      <c r="T24" s="377"/>
      <c r="U24" s="417"/>
      <c r="V24" s="469"/>
      <c r="W24" s="466">
        <f>SUM(W25:W28)</f>
        <v>43402900</v>
      </c>
      <c r="X24" s="529"/>
      <c r="Y24" s="377"/>
      <c r="Z24" s="417"/>
      <c r="AA24" s="469"/>
      <c r="AB24" s="466">
        <f>SUM(AB25:AB28)</f>
        <v>60600922</v>
      </c>
      <c r="AC24" s="529"/>
      <c r="AD24" s="377"/>
      <c r="AE24" s="417"/>
      <c r="AF24" s="469"/>
      <c r="AG24" s="466">
        <f>SUM(AG25:AG28)</f>
        <v>37229982</v>
      </c>
      <c r="AH24" s="529"/>
      <c r="AI24" s="377"/>
      <c r="AJ24" s="417"/>
      <c r="AK24" s="469"/>
      <c r="AL24" s="466">
        <f>SUM(AL25:AL28)</f>
        <v>50427153</v>
      </c>
      <c r="AM24" s="529"/>
      <c r="AN24" s="377"/>
      <c r="AO24" s="417"/>
      <c r="AP24" s="469"/>
      <c r="AQ24" s="466">
        <f>SUM(AQ25:AQ28)</f>
        <v>0</v>
      </c>
      <c r="AR24" s="529"/>
      <c r="AS24" s="377"/>
      <c r="AT24" s="417"/>
      <c r="AU24" s="469"/>
      <c r="AV24" s="466">
        <f>SUM(AV25:AV28)</f>
        <v>0</v>
      </c>
      <c r="AW24" s="529"/>
      <c r="AX24" s="377"/>
      <c r="AY24" s="417"/>
      <c r="AZ24" s="469"/>
      <c r="BA24" s="466">
        <f>SUM(BA25:BA28)</f>
        <v>0</v>
      </c>
      <c r="BB24" s="529"/>
      <c r="BC24" s="377"/>
      <c r="BD24" s="417"/>
      <c r="BE24" s="469"/>
      <c r="BF24" s="466">
        <f>SUM(BF25:BF28)</f>
        <v>0</v>
      </c>
      <c r="BG24" s="529"/>
      <c r="BH24" s="377"/>
      <c r="BI24" s="417"/>
      <c r="BJ24" s="469"/>
      <c r="BK24" s="466">
        <f>SUM(BK25:BK28)</f>
        <v>0</v>
      </c>
      <c r="BL24" s="529"/>
      <c r="BM24" s="377"/>
      <c r="BN24" s="417"/>
      <c r="BO24" s="469"/>
      <c r="BP24" s="466">
        <f>SUM(BP25:BP28)</f>
        <v>0</v>
      </c>
      <c r="BQ24" s="529"/>
      <c r="BR24" s="377"/>
      <c r="BS24" s="417"/>
      <c r="BT24" s="469"/>
      <c r="BU24" s="466">
        <f>SUM(BU25:BU28)</f>
        <v>265149706.74399996</v>
      </c>
      <c r="BV24" s="529"/>
      <c r="BW24" s="377"/>
      <c r="BX24" s="465"/>
      <c r="CA24" s="410"/>
      <c r="CB24" s="410" t="e">
        <f>#REF!-#REF!</f>
        <v>#REF!</v>
      </c>
    </row>
    <row r="25" spans="1:80" x14ac:dyDescent="0.2">
      <c r="A25" s="377"/>
      <c r="B25" s="377"/>
      <c r="C25" s="465" t="s">
        <v>336</v>
      </c>
      <c r="D25" s="377"/>
      <c r="E25" s="597" t="s">
        <v>337</v>
      </c>
      <c r="F25" s="598"/>
      <c r="G25" s="598"/>
      <c r="H25" s="593">
        <f>[18]domlongtermissues!G13</f>
        <v>496423000</v>
      </c>
      <c r="I25" s="531"/>
      <c r="J25" s="377"/>
      <c r="K25" s="417"/>
      <c r="L25" s="417"/>
      <c r="M25" s="593">
        <f>[18]domlongtermissues!L13</f>
        <v>38350619</v>
      </c>
      <c r="N25" s="531"/>
      <c r="O25" s="377"/>
      <c r="P25" s="417"/>
      <c r="Q25" s="417"/>
      <c r="R25" s="593">
        <f>[18]domlongtermissues!Q13</f>
        <v>45031287.743999995</v>
      </c>
      <c r="S25" s="531"/>
      <c r="T25" s="377"/>
      <c r="U25" s="417"/>
      <c r="V25" s="417"/>
      <c r="W25" s="593">
        <f>[18]domlongtermissues!V13</f>
        <v>49600848</v>
      </c>
      <c r="X25" s="531"/>
      <c r="Y25" s="377"/>
      <c r="Z25" s="417"/>
      <c r="AA25" s="417"/>
      <c r="AB25" s="593">
        <f>[18]domlongtermissues!AA13</f>
        <v>69933031</v>
      </c>
      <c r="AC25" s="531"/>
      <c r="AD25" s="377"/>
      <c r="AE25" s="417"/>
      <c r="AF25" s="417"/>
      <c r="AG25" s="593">
        <f>[18]domlongtermissues!AF13</f>
        <v>44319358</v>
      </c>
      <c r="AH25" s="531"/>
      <c r="AI25" s="377"/>
      <c r="AJ25" s="417"/>
      <c r="AK25" s="417"/>
      <c r="AL25" s="593">
        <f>[18]domlongtermissues!AK13</f>
        <v>61486843</v>
      </c>
      <c r="AM25" s="531"/>
      <c r="AN25" s="377"/>
      <c r="AO25" s="417"/>
      <c r="AP25" s="417"/>
      <c r="AQ25" s="593">
        <f>[18]domlongtermissues!AP13</f>
        <v>0</v>
      </c>
      <c r="AR25" s="531"/>
      <c r="AS25" s="377"/>
      <c r="AT25" s="417"/>
      <c r="AU25" s="417"/>
      <c r="AV25" s="593">
        <f>[18]domlongtermissues!AU13</f>
        <v>0</v>
      </c>
      <c r="AW25" s="531"/>
      <c r="AX25" s="377"/>
      <c r="AY25" s="417"/>
      <c r="AZ25" s="417"/>
      <c r="BA25" s="593">
        <f>[18]domlongtermissues!AZ13</f>
        <v>0</v>
      </c>
      <c r="BB25" s="531"/>
      <c r="BC25" s="377"/>
      <c r="BD25" s="417"/>
      <c r="BE25" s="417"/>
      <c r="BF25" s="593">
        <f>[18]domlongtermissues!BE13</f>
        <v>0</v>
      </c>
      <c r="BG25" s="531"/>
      <c r="BH25" s="377"/>
      <c r="BI25" s="417"/>
      <c r="BJ25" s="417"/>
      <c r="BK25" s="593">
        <f>[18]domlongtermissues!BJ13</f>
        <v>0</v>
      </c>
      <c r="BL25" s="531"/>
      <c r="BM25" s="377"/>
      <c r="BN25" s="417"/>
      <c r="BO25" s="417"/>
      <c r="BP25" s="593">
        <f>[18]domlongtermissues!BO13</f>
        <v>0</v>
      </c>
      <c r="BQ25" s="531"/>
      <c r="BR25" s="377"/>
      <c r="BS25" s="417"/>
      <c r="BT25" s="417"/>
      <c r="BU25" s="593">
        <f>[18]domlongtermissues!BT13</f>
        <v>308721986.74399996</v>
      </c>
      <c r="BV25" s="531"/>
      <c r="BW25" s="377"/>
      <c r="BX25" s="465"/>
      <c r="CA25" s="410"/>
      <c r="CB25" s="410" t="e">
        <f>#REF!-#REF!</f>
        <v>#REF!</v>
      </c>
    </row>
    <row r="26" spans="1:80" x14ac:dyDescent="0.2">
      <c r="A26" s="377"/>
      <c r="B26" s="377"/>
      <c r="C26" s="465" t="s">
        <v>338</v>
      </c>
      <c r="D26" s="377"/>
      <c r="E26" s="597" t="s">
        <v>337</v>
      </c>
      <c r="F26" s="598"/>
      <c r="G26" s="598"/>
      <c r="H26" s="418">
        <f>-[18]domlongtermissues!G20</f>
        <v>-33923000</v>
      </c>
      <c r="I26" s="531"/>
      <c r="J26" s="377"/>
      <c r="K26" s="417"/>
      <c r="L26" s="417"/>
      <c r="M26" s="418">
        <f>-[18]domlongtermissues!L20</f>
        <v>-4299769</v>
      </c>
      <c r="N26" s="531"/>
      <c r="O26" s="377"/>
      <c r="P26" s="417"/>
      <c r="Q26" s="417"/>
      <c r="R26" s="418">
        <f>-[18]domlongtermissues!Q20</f>
        <v>-4058204</v>
      </c>
      <c r="S26" s="531"/>
      <c r="T26" s="377"/>
      <c r="U26" s="417"/>
      <c r="V26" s="417"/>
      <c r="W26" s="418">
        <f>-[18]domlongtermissues!V20</f>
        <v>-6085389</v>
      </c>
      <c r="X26" s="531"/>
      <c r="Y26" s="377"/>
      <c r="Z26" s="417"/>
      <c r="AA26" s="417"/>
      <c r="AB26" s="418">
        <f>-[18]domlongtermissues!AA20</f>
        <v>-8992564</v>
      </c>
      <c r="AC26" s="531"/>
      <c r="AD26" s="377"/>
      <c r="AE26" s="417"/>
      <c r="AF26" s="417"/>
      <c r="AG26" s="418">
        <f>-[18]domlongtermissues!AF20</f>
        <v>-6877121</v>
      </c>
      <c r="AH26" s="531"/>
      <c r="AI26" s="377"/>
      <c r="AJ26" s="417"/>
      <c r="AK26" s="417"/>
      <c r="AL26" s="418">
        <f>-[18]domlongtermissues!AK20</f>
        <v>-10836667</v>
      </c>
      <c r="AM26" s="531"/>
      <c r="AN26" s="377"/>
      <c r="AO26" s="417"/>
      <c r="AP26" s="417"/>
      <c r="AQ26" s="418">
        <f>-[18]domlongtermissues!AP20</f>
        <v>0</v>
      </c>
      <c r="AR26" s="531"/>
      <c r="AS26" s="377"/>
      <c r="AT26" s="417"/>
      <c r="AU26" s="417"/>
      <c r="AV26" s="418">
        <f>-[18]domlongtermissues!AU20</f>
        <v>0</v>
      </c>
      <c r="AW26" s="531"/>
      <c r="AX26" s="377"/>
      <c r="AY26" s="417"/>
      <c r="AZ26" s="417"/>
      <c r="BA26" s="418">
        <f>-[18]domlongtermissues!AZ20</f>
        <v>0</v>
      </c>
      <c r="BB26" s="531"/>
      <c r="BC26" s="377"/>
      <c r="BD26" s="417"/>
      <c r="BE26" s="417"/>
      <c r="BF26" s="418">
        <f>-[18]domlongtermissues!BE20</f>
        <v>0</v>
      </c>
      <c r="BG26" s="531"/>
      <c r="BH26" s="377"/>
      <c r="BI26" s="417"/>
      <c r="BJ26" s="417"/>
      <c r="BK26" s="418">
        <f>-[18]domlongtermissues!BJ20</f>
        <v>0</v>
      </c>
      <c r="BL26" s="531"/>
      <c r="BM26" s="377"/>
      <c r="BN26" s="417"/>
      <c r="BO26" s="417"/>
      <c r="BP26" s="418">
        <f>-[18]domlongtermissues!BO20</f>
        <v>0</v>
      </c>
      <c r="BQ26" s="531"/>
      <c r="BR26" s="377"/>
      <c r="BS26" s="417"/>
      <c r="BT26" s="417"/>
      <c r="BU26" s="418">
        <f>-[18]domlongtermissues!BT20</f>
        <v>-41149714</v>
      </c>
      <c r="BV26" s="531"/>
      <c r="BW26" s="377"/>
      <c r="BX26" s="465"/>
      <c r="CA26" s="410"/>
      <c r="CB26" s="410" t="e">
        <f>#REF!-#REF!</f>
        <v>#REF!</v>
      </c>
    </row>
    <row r="27" spans="1:80" x14ac:dyDescent="0.2">
      <c r="A27" s="377"/>
      <c r="B27" s="377"/>
      <c r="C27" s="465" t="s">
        <v>339</v>
      </c>
      <c r="D27" s="377"/>
      <c r="E27" s="597" t="s">
        <v>340</v>
      </c>
      <c r="F27" s="598"/>
      <c r="G27" s="598"/>
      <c r="H27" s="418">
        <f>-[18]domredemp!G13</f>
        <v>-52465000</v>
      </c>
      <c r="I27" s="531"/>
      <c r="J27" s="377"/>
      <c r="K27" s="417"/>
      <c r="L27" s="417"/>
      <c r="M27" s="418">
        <f>-[18]domredemp!L13</f>
        <v>-1200137</v>
      </c>
      <c r="N27" s="531"/>
      <c r="O27" s="377"/>
      <c r="P27" s="417"/>
      <c r="Q27" s="417"/>
      <c r="R27" s="418">
        <f>-[18]domredemp!Q13</f>
        <v>-335047</v>
      </c>
      <c r="S27" s="531"/>
      <c r="T27" s="377"/>
      <c r="U27" s="417"/>
      <c r="V27" s="417"/>
      <c r="W27" s="418">
        <f>-[18]domredemp!V13</f>
        <v>-112559</v>
      </c>
      <c r="X27" s="531"/>
      <c r="Y27" s="377"/>
      <c r="Z27" s="417"/>
      <c r="AA27" s="417"/>
      <c r="AB27" s="418">
        <f>-[18]domredemp!AA13</f>
        <v>-339545</v>
      </c>
      <c r="AC27" s="531"/>
      <c r="AD27" s="377"/>
      <c r="AE27" s="417"/>
      <c r="AF27" s="417"/>
      <c r="AG27" s="418">
        <f>-[18]domredemp!AF13</f>
        <v>-212255</v>
      </c>
      <c r="AH27" s="531"/>
      <c r="AI27" s="377"/>
      <c r="AJ27" s="417"/>
      <c r="AK27" s="417"/>
      <c r="AL27" s="418">
        <f>-[18]domredemp!AK13</f>
        <v>-223023</v>
      </c>
      <c r="AM27" s="531"/>
      <c r="AN27" s="377"/>
      <c r="AO27" s="417"/>
      <c r="AP27" s="417"/>
      <c r="AQ27" s="418">
        <f>-[18]domredemp!AP13</f>
        <v>0</v>
      </c>
      <c r="AR27" s="531"/>
      <c r="AS27" s="377"/>
      <c r="AT27" s="417"/>
      <c r="AU27" s="417"/>
      <c r="AV27" s="418">
        <f>-[18]domredemp!AU13</f>
        <v>0</v>
      </c>
      <c r="AW27" s="531"/>
      <c r="AX27" s="377"/>
      <c r="AY27" s="417"/>
      <c r="AZ27" s="417"/>
      <c r="BA27" s="418">
        <f>-[18]domredemp!AZ13</f>
        <v>0</v>
      </c>
      <c r="BB27" s="531"/>
      <c r="BC27" s="377"/>
      <c r="BD27" s="417"/>
      <c r="BE27" s="417"/>
      <c r="BF27" s="418">
        <f>-[18]domredemp!BE13</f>
        <v>0</v>
      </c>
      <c r="BG27" s="531"/>
      <c r="BH27" s="377"/>
      <c r="BI27" s="417"/>
      <c r="BJ27" s="417"/>
      <c r="BK27" s="418">
        <f>-[18]domredemp!BJ13</f>
        <v>0</v>
      </c>
      <c r="BL27" s="531"/>
      <c r="BM27" s="377"/>
      <c r="BN27" s="417"/>
      <c r="BO27" s="417"/>
      <c r="BP27" s="418">
        <f>-[18]domredemp!BO13</f>
        <v>0</v>
      </c>
      <c r="BQ27" s="531"/>
      <c r="BR27" s="377"/>
      <c r="BS27" s="417"/>
      <c r="BT27" s="417"/>
      <c r="BU27" s="418">
        <f>-[18]domredemp!BT13</f>
        <v>-2422566</v>
      </c>
      <c r="BV27" s="531"/>
      <c r="BW27" s="377"/>
      <c r="BX27" s="465"/>
      <c r="CA27" s="410"/>
      <c r="CB27" s="410" t="e">
        <f>#REF!-#REF!</f>
        <v>#REF!</v>
      </c>
    </row>
    <row r="28" spans="1:80" x14ac:dyDescent="0.2">
      <c r="A28" s="377"/>
      <c r="B28" s="377"/>
      <c r="C28" s="465" t="s">
        <v>341</v>
      </c>
      <c r="D28" s="377"/>
      <c r="E28" s="597">
        <v>4.2</v>
      </c>
      <c r="F28" s="598"/>
      <c r="G28" s="598"/>
      <c r="H28" s="596">
        <f>-[18]domredemp!G16+[18]domredemp!G124</f>
        <v>0</v>
      </c>
      <c r="I28" s="531"/>
      <c r="J28" s="377"/>
      <c r="K28" s="417"/>
      <c r="L28" s="417"/>
      <c r="M28" s="596">
        <f>-[18]domredemp!L16+[18]domredemp!L124</f>
        <v>0</v>
      </c>
      <c r="N28" s="531"/>
      <c r="O28" s="377"/>
      <c r="P28" s="417"/>
      <c r="Q28" s="417"/>
      <c r="R28" s="596">
        <f>-[18]domredemp!Q16+[18]domredemp!Q124</f>
        <v>0</v>
      </c>
      <c r="S28" s="531"/>
      <c r="T28" s="377"/>
      <c r="U28" s="417"/>
      <c r="V28" s="417"/>
      <c r="W28" s="596">
        <f>-[18]domredemp!V16+[18]domredemp!V124</f>
        <v>0</v>
      </c>
      <c r="X28" s="531"/>
      <c r="Y28" s="377"/>
      <c r="Z28" s="417"/>
      <c r="AA28" s="417"/>
      <c r="AB28" s="596">
        <f>-[18]domredemp!AA16+[18]domredemp!AA124</f>
        <v>0</v>
      </c>
      <c r="AC28" s="531"/>
      <c r="AD28" s="377"/>
      <c r="AE28" s="417"/>
      <c r="AF28" s="417"/>
      <c r="AG28" s="596">
        <f>-[18]domredemp!AF16+[18]domredemp!AF124</f>
        <v>0</v>
      </c>
      <c r="AH28" s="531"/>
      <c r="AI28" s="377"/>
      <c r="AJ28" s="417"/>
      <c r="AK28" s="417"/>
      <c r="AL28" s="596">
        <f>-[18]domredemp!AK16+[18]domredemp!AK124</f>
        <v>0</v>
      </c>
      <c r="AM28" s="531"/>
      <c r="AN28" s="377"/>
      <c r="AO28" s="417"/>
      <c r="AP28" s="417"/>
      <c r="AQ28" s="596">
        <f>-[18]domredemp!AP16+[18]domredemp!AP124</f>
        <v>0</v>
      </c>
      <c r="AR28" s="531"/>
      <c r="AS28" s="377"/>
      <c r="AT28" s="417"/>
      <c r="AU28" s="417"/>
      <c r="AV28" s="596">
        <f>-[18]domredemp!AU16+[18]domredemp!AU124</f>
        <v>0</v>
      </c>
      <c r="AW28" s="531"/>
      <c r="AX28" s="377"/>
      <c r="AY28" s="417"/>
      <c r="AZ28" s="417"/>
      <c r="BA28" s="596">
        <f>-[18]domredemp!AZ16+[18]domredemp!AZ124</f>
        <v>0</v>
      </c>
      <c r="BB28" s="531"/>
      <c r="BC28" s="377"/>
      <c r="BD28" s="417"/>
      <c r="BE28" s="417"/>
      <c r="BF28" s="596">
        <f>-[18]domredemp!BE16+[18]domredemp!BE124</f>
        <v>0</v>
      </c>
      <c r="BG28" s="531"/>
      <c r="BH28" s="377"/>
      <c r="BI28" s="417"/>
      <c r="BJ28" s="417"/>
      <c r="BK28" s="596">
        <f>-[18]domredemp!BJ16+[18]domredemp!BJ124</f>
        <v>0</v>
      </c>
      <c r="BL28" s="531"/>
      <c r="BM28" s="377"/>
      <c r="BN28" s="417"/>
      <c r="BO28" s="417"/>
      <c r="BP28" s="596">
        <f>-[18]domredemp!BO16+[18]domredemp!BO124</f>
        <v>0</v>
      </c>
      <c r="BQ28" s="531"/>
      <c r="BR28" s="377"/>
      <c r="BS28" s="417"/>
      <c r="BT28" s="417"/>
      <c r="BU28" s="596">
        <f>-[18]domredemp!BT16+[18]domredemp!BT124</f>
        <v>0</v>
      </c>
      <c r="BV28" s="531"/>
      <c r="BW28" s="377"/>
      <c r="BX28" s="465"/>
      <c r="CA28" s="410"/>
      <c r="CB28" s="410" t="e">
        <f>#REF!-#REF!</f>
        <v>#REF!</v>
      </c>
    </row>
    <row r="29" spans="1:80" x14ac:dyDescent="0.2">
      <c r="A29" s="377"/>
      <c r="B29" s="377"/>
      <c r="C29" s="465"/>
      <c r="D29" s="377"/>
      <c r="E29" s="599"/>
      <c r="F29" s="600"/>
      <c r="G29" s="600"/>
      <c r="H29" s="377"/>
      <c r="I29" s="531"/>
      <c r="J29" s="377"/>
      <c r="K29" s="417"/>
      <c r="L29" s="417"/>
      <c r="M29" s="377"/>
      <c r="N29" s="531"/>
      <c r="O29" s="377"/>
      <c r="P29" s="417"/>
      <c r="Q29" s="417"/>
      <c r="R29" s="466"/>
      <c r="S29" s="531"/>
      <c r="T29" s="377"/>
      <c r="U29" s="417"/>
      <c r="V29" s="417"/>
      <c r="W29" s="466"/>
      <c r="X29" s="531"/>
      <c r="Y29" s="377"/>
      <c r="Z29" s="417"/>
      <c r="AA29" s="417"/>
      <c r="AB29" s="466"/>
      <c r="AC29" s="531"/>
      <c r="AD29" s="377"/>
      <c r="AE29" s="417"/>
      <c r="AF29" s="417"/>
      <c r="AG29" s="466"/>
      <c r="AH29" s="531"/>
      <c r="AI29" s="377"/>
      <c r="AJ29" s="417"/>
      <c r="AK29" s="417"/>
      <c r="AL29" s="377"/>
      <c r="AM29" s="531"/>
      <c r="AN29" s="377"/>
      <c r="AO29" s="417"/>
      <c r="AP29" s="417"/>
      <c r="AQ29" s="377"/>
      <c r="AR29" s="531"/>
      <c r="AS29" s="377"/>
      <c r="AT29" s="417"/>
      <c r="AU29" s="417"/>
      <c r="AV29" s="377"/>
      <c r="AW29" s="531"/>
      <c r="AX29" s="377"/>
      <c r="AY29" s="417"/>
      <c r="AZ29" s="417"/>
      <c r="BA29" s="377"/>
      <c r="BB29" s="531"/>
      <c r="BC29" s="377"/>
      <c r="BD29" s="417"/>
      <c r="BE29" s="417"/>
      <c r="BF29" s="377"/>
      <c r="BG29" s="531"/>
      <c r="BH29" s="377"/>
      <c r="BI29" s="417"/>
      <c r="BJ29" s="417"/>
      <c r="BK29" s="377"/>
      <c r="BL29" s="531"/>
      <c r="BM29" s="377"/>
      <c r="BN29" s="417"/>
      <c r="BO29" s="417"/>
      <c r="BP29" s="377"/>
      <c r="BQ29" s="531"/>
      <c r="BR29" s="377"/>
      <c r="BS29" s="417"/>
      <c r="BT29" s="417"/>
      <c r="BU29" s="377"/>
      <c r="BV29" s="531"/>
      <c r="BW29" s="377"/>
      <c r="BX29" s="465"/>
      <c r="CA29" s="410"/>
      <c r="CB29" s="410" t="e">
        <f>#REF!-#REF!</f>
        <v>#REF!</v>
      </c>
    </row>
    <row r="30" spans="1:80" x14ac:dyDescent="0.2">
      <c r="A30" s="377"/>
      <c r="B30" s="377"/>
      <c r="C30" s="465" t="s">
        <v>342</v>
      </c>
      <c r="D30" s="377"/>
      <c r="E30" s="599"/>
      <c r="F30" s="600"/>
      <c r="G30" s="600"/>
      <c r="H30" s="377">
        <f>SUM(H31:H33)</f>
        <v>0</v>
      </c>
      <c r="I30" s="531"/>
      <c r="J30" s="377"/>
      <c r="K30" s="417"/>
      <c r="L30" s="417"/>
      <c r="M30" s="377">
        <f>SUM(M31:M33)</f>
        <v>0</v>
      </c>
      <c r="N30" s="531"/>
      <c r="O30" s="377"/>
      <c r="P30" s="417"/>
      <c r="Q30" s="417"/>
      <c r="R30" s="377">
        <f>SUM(R31:R33)</f>
        <v>0</v>
      </c>
      <c r="S30" s="531"/>
      <c r="T30" s="377"/>
      <c r="U30" s="417"/>
      <c r="V30" s="417"/>
      <c r="W30" s="377">
        <f>SUM(W31:W33)</f>
        <v>0</v>
      </c>
      <c r="X30" s="531"/>
      <c r="Y30" s="377"/>
      <c r="Z30" s="417"/>
      <c r="AA30" s="417"/>
      <c r="AB30" s="377">
        <f>SUM(AB31:AB33)</f>
        <v>0</v>
      </c>
      <c r="AC30" s="531"/>
      <c r="AD30" s="377"/>
      <c r="AE30" s="417"/>
      <c r="AF30" s="417"/>
      <c r="AG30" s="377">
        <f>SUM(AG31:AG33)</f>
        <v>0</v>
      </c>
      <c r="AH30" s="531"/>
      <c r="AI30" s="377"/>
      <c r="AJ30" s="417"/>
      <c r="AK30" s="417"/>
      <c r="AL30" s="377">
        <f>SUM(AL31:AL33)</f>
        <v>0</v>
      </c>
      <c r="AM30" s="531"/>
      <c r="AN30" s="377"/>
      <c r="AO30" s="417"/>
      <c r="AP30" s="417"/>
      <c r="AQ30" s="377">
        <f>SUM(AQ31:AQ33)</f>
        <v>0</v>
      </c>
      <c r="AR30" s="531"/>
      <c r="AS30" s="377"/>
      <c r="AT30" s="417"/>
      <c r="AU30" s="417"/>
      <c r="AV30" s="377">
        <f>SUM(AV31:AV33)</f>
        <v>0</v>
      </c>
      <c r="AW30" s="531"/>
      <c r="AX30" s="377"/>
      <c r="AY30" s="417"/>
      <c r="AZ30" s="417"/>
      <c r="BA30" s="377">
        <f>SUM(BA31:BA33)</f>
        <v>0</v>
      </c>
      <c r="BB30" s="531"/>
      <c r="BC30" s="377"/>
      <c r="BD30" s="417"/>
      <c r="BE30" s="417"/>
      <c r="BF30" s="377">
        <f>SUM(BF31:BF33)</f>
        <v>0</v>
      </c>
      <c r="BG30" s="531"/>
      <c r="BH30" s="377"/>
      <c r="BI30" s="417"/>
      <c r="BJ30" s="417"/>
      <c r="BK30" s="377">
        <f>SUM(BK31:BK33)</f>
        <v>0</v>
      </c>
      <c r="BL30" s="531"/>
      <c r="BM30" s="377"/>
      <c r="BN30" s="417"/>
      <c r="BO30" s="417"/>
      <c r="BP30" s="377">
        <f>SUM(BP31:BP33)</f>
        <v>0</v>
      </c>
      <c r="BQ30" s="531"/>
      <c r="BR30" s="377"/>
      <c r="BS30" s="417"/>
      <c r="BT30" s="417"/>
      <c r="BU30" s="377">
        <f>SUM(BU31:BU33)</f>
        <v>0</v>
      </c>
      <c r="BV30" s="531"/>
      <c r="BW30" s="377"/>
      <c r="BX30" s="465"/>
      <c r="CA30" s="410"/>
      <c r="CB30" s="410" t="e">
        <f>#REF!-#REF!</f>
        <v>#REF!</v>
      </c>
    </row>
    <row r="31" spans="1:80" x14ac:dyDescent="0.2">
      <c r="A31" s="377"/>
      <c r="B31" s="377"/>
      <c r="C31" s="465" t="s">
        <v>343</v>
      </c>
      <c r="D31" s="377"/>
      <c r="E31" s="597" t="s">
        <v>337</v>
      </c>
      <c r="F31" s="598"/>
      <c r="G31" s="598"/>
      <c r="H31" s="593">
        <f>[18]domlongtermissues!G14</f>
        <v>0</v>
      </c>
      <c r="I31" s="531"/>
      <c r="J31" s="377"/>
      <c r="K31" s="417"/>
      <c r="L31" s="417"/>
      <c r="M31" s="593">
        <f>[18]domlongtermissues!L14</f>
        <v>0</v>
      </c>
      <c r="N31" s="531"/>
      <c r="O31" s="377"/>
      <c r="P31" s="417"/>
      <c r="Q31" s="417"/>
      <c r="R31" s="593">
        <f>[18]domlongtermissues!Q14</f>
        <v>0</v>
      </c>
      <c r="S31" s="531"/>
      <c r="T31" s="377"/>
      <c r="U31" s="417"/>
      <c r="V31" s="417"/>
      <c r="W31" s="593">
        <f>[18]domlongtermissues!V14</f>
        <v>0</v>
      </c>
      <c r="X31" s="531"/>
      <c r="Y31" s="377"/>
      <c r="Z31" s="417"/>
      <c r="AA31" s="417"/>
      <c r="AB31" s="593">
        <f>[18]domlongtermissues!AA14</f>
        <v>0</v>
      </c>
      <c r="AC31" s="531"/>
      <c r="AD31" s="377"/>
      <c r="AE31" s="417"/>
      <c r="AF31" s="417"/>
      <c r="AG31" s="593">
        <f>[18]domlongtermissues!AF14</f>
        <v>0</v>
      </c>
      <c r="AH31" s="531"/>
      <c r="AI31" s="377"/>
      <c r="AJ31" s="417"/>
      <c r="AK31" s="417"/>
      <c r="AL31" s="593">
        <f>[18]domlongtermissues!AK14</f>
        <v>0</v>
      </c>
      <c r="AM31" s="531"/>
      <c r="AN31" s="377"/>
      <c r="AO31" s="417"/>
      <c r="AP31" s="417"/>
      <c r="AQ31" s="593">
        <f>[18]domlongtermissues!AP14</f>
        <v>0</v>
      </c>
      <c r="AR31" s="531"/>
      <c r="AS31" s="377"/>
      <c r="AT31" s="417"/>
      <c r="AU31" s="417"/>
      <c r="AV31" s="593">
        <f>[18]domlongtermissues!AU14</f>
        <v>0</v>
      </c>
      <c r="AW31" s="531"/>
      <c r="AX31" s="377"/>
      <c r="AY31" s="417"/>
      <c r="AZ31" s="417"/>
      <c r="BA31" s="593">
        <f>[18]domlongtermissues!AZ14</f>
        <v>0</v>
      </c>
      <c r="BB31" s="531"/>
      <c r="BC31" s="377"/>
      <c r="BD31" s="417"/>
      <c r="BE31" s="417"/>
      <c r="BF31" s="593">
        <f>[18]domlongtermissues!BE14</f>
        <v>0</v>
      </c>
      <c r="BG31" s="531"/>
      <c r="BH31" s="377"/>
      <c r="BI31" s="417"/>
      <c r="BJ31" s="417"/>
      <c r="BK31" s="593">
        <f>[18]domlongtermissues!BJ14</f>
        <v>0</v>
      </c>
      <c r="BL31" s="531"/>
      <c r="BM31" s="377"/>
      <c r="BN31" s="417"/>
      <c r="BO31" s="417"/>
      <c r="BP31" s="593">
        <f>[18]domlongtermissues!BO14</f>
        <v>0</v>
      </c>
      <c r="BQ31" s="531"/>
      <c r="BR31" s="377"/>
      <c r="BS31" s="417"/>
      <c r="BT31" s="417"/>
      <c r="BU31" s="593">
        <f>[18]domlongtermissues!BT14</f>
        <v>0</v>
      </c>
      <c r="BV31" s="531"/>
      <c r="BW31" s="377"/>
      <c r="BX31" s="465"/>
      <c r="CA31" s="410"/>
      <c r="CB31" s="410" t="e">
        <f>#REF!-#REF!</f>
        <v>#REF!</v>
      </c>
    </row>
    <row r="32" spans="1:80" x14ac:dyDescent="0.2">
      <c r="A32" s="377"/>
      <c r="B32" s="377"/>
      <c r="C32" s="465" t="s">
        <v>344</v>
      </c>
      <c r="D32" s="377"/>
      <c r="E32" s="597" t="s">
        <v>337</v>
      </c>
      <c r="F32" s="598"/>
      <c r="G32" s="598"/>
      <c r="H32" s="418">
        <f>-[18]domlongtermissues!G217</f>
        <v>0</v>
      </c>
      <c r="I32" s="531"/>
      <c r="J32" s="377"/>
      <c r="K32" s="417"/>
      <c r="L32" s="417"/>
      <c r="M32" s="418">
        <f>-[18]domlongtermissues!L217</f>
        <v>0</v>
      </c>
      <c r="N32" s="531"/>
      <c r="O32" s="377"/>
      <c r="P32" s="417"/>
      <c r="Q32" s="417"/>
      <c r="R32" s="418">
        <f>-[18]domlongtermissues!Q217</f>
        <v>0</v>
      </c>
      <c r="S32" s="531"/>
      <c r="T32" s="377"/>
      <c r="U32" s="417"/>
      <c r="V32" s="417"/>
      <c r="W32" s="418">
        <f>-[18]domlongtermissues!V217</f>
        <v>0</v>
      </c>
      <c r="X32" s="531"/>
      <c r="Y32" s="377"/>
      <c r="Z32" s="417"/>
      <c r="AA32" s="417"/>
      <c r="AB32" s="418">
        <f>-[18]domlongtermissues!AA217</f>
        <v>0</v>
      </c>
      <c r="AC32" s="531"/>
      <c r="AD32" s="377"/>
      <c r="AE32" s="417"/>
      <c r="AF32" s="417"/>
      <c r="AG32" s="418">
        <f>-[18]domlongtermissues!AF217</f>
        <v>0</v>
      </c>
      <c r="AH32" s="531"/>
      <c r="AI32" s="377"/>
      <c r="AJ32" s="417"/>
      <c r="AK32" s="417"/>
      <c r="AL32" s="418">
        <f>-[18]domlongtermissues!AK217</f>
        <v>0</v>
      </c>
      <c r="AM32" s="531"/>
      <c r="AN32" s="377"/>
      <c r="AO32" s="417"/>
      <c r="AP32" s="417"/>
      <c r="AQ32" s="418">
        <f>-[18]domlongtermissues!AP217</f>
        <v>0</v>
      </c>
      <c r="AR32" s="531"/>
      <c r="AS32" s="377"/>
      <c r="AT32" s="417"/>
      <c r="AU32" s="417"/>
      <c r="AV32" s="418">
        <f>-[18]domlongtermissues!AU217</f>
        <v>0</v>
      </c>
      <c r="AW32" s="531"/>
      <c r="AX32" s="377"/>
      <c r="AY32" s="417"/>
      <c r="AZ32" s="417"/>
      <c r="BA32" s="418">
        <f>-[18]domlongtermissues!AZ217</f>
        <v>0</v>
      </c>
      <c r="BB32" s="531"/>
      <c r="BC32" s="377"/>
      <c r="BD32" s="417"/>
      <c r="BE32" s="417"/>
      <c r="BF32" s="418">
        <f>-[18]domlongtermissues!BE217</f>
        <v>0</v>
      </c>
      <c r="BG32" s="531"/>
      <c r="BH32" s="377"/>
      <c r="BI32" s="417"/>
      <c r="BJ32" s="417"/>
      <c r="BK32" s="418">
        <f>-[18]domlongtermissues!BJ217</f>
        <v>0</v>
      </c>
      <c r="BL32" s="531"/>
      <c r="BM32" s="377"/>
      <c r="BN32" s="417"/>
      <c r="BO32" s="417"/>
      <c r="BP32" s="418">
        <f>-[18]domlongtermissues!BO217</f>
        <v>0</v>
      </c>
      <c r="BQ32" s="531"/>
      <c r="BR32" s="377"/>
      <c r="BS32" s="417"/>
      <c r="BT32" s="417"/>
      <c r="BU32" s="418">
        <f>-[18]domlongtermissues!BT217</f>
        <v>0</v>
      </c>
      <c r="BV32" s="531"/>
      <c r="BW32" s="377"/>
      <c r="BX32" s="465"/>
      <c r="CA32" s="410"/>
      <c r="CB32" s="410" t="e">
        <f>#REF!-#REF!</f>
        <v>#REF!</v>
      </c>
    </row>
    <row r="33" spans="1:80" x14ac:dyDescent="0.2">
      <c r="A33" s="377"/>
      <c r="B33" s="377"/>
      <c r="C33" s="465" t="s">
        <v>345</v>
      </c>
      <c r="D33" s="377"/>
      <c r="E33" s="597" t="s">
        <v>340</v>
      </c>
      <c r="F33" s="598"/>
      <c r="G33" s="598"/>
      <c r="H33" s="596">
        <f>-[18]domredemp!G14+[18]domredemp!G32</f>
        <v>0</v>
      </c>
      <c r="I33" s="531"/>
      <c r="J33" s="377"/>
      <c r="K33" s="417"/>
      <c r="L33" s="417"/>
      <c r="M33" s="596">
        <f>-[18]domredemp!L14+[18]domredemp!L32</f>
        <v>0</v>
      </c>
      <c r="N33" s="531"/>
      <c r="O33" s="377"/>
      <c r="P33" s="417"/>
      <c r="Q33" s="417"/>
      <c r="R33" s="596">
        <f>-[18]domredemp!Q14+[18]domredemp!Q32</f>
        <v>0</v>
      </c>
      <c r="S33" s="531"/>
      <c r="T33" s="377"/>
      <c r="U33" s="417"/>
      <c r="V33" s="417"/>
      <c r="W33" s="596">
        <f>-[18]domredemp!V14+[18]domredemp!V32</f>
        <v>0</v>
      </c>
      <c r="X33" s="531"/>
      <c r="Y33" s="377"/>
      <c r="Z33" s="417"/>
      <c r="AA33" s="417"/>
      <c r="AB33" s="596">
        <f>-[18]domredemp!AA14+[18]domredemp!AA32</f>
        <v>0</v>
      </c>
      <c r="AC33" s="531"/>
      <c r="AD33" s="377"/>
      <c r="AE33" s="417"/>
      <c r="AF33" s="417"/>
      <c r="AG33" s="596">
        <f>-[18]domredemp!AF14+[18]domredemp!AF32</f>
        <v>0</v>
      </c>
      <c r="AH33" s="531"/>
      <c r="AI33" s="377"/>
      <c r="AJ33" s="417"/>
      <c r="AK33" s="417"/>
      <c r="AL33" s="596">
        <f>-[18]domredemp!AK14+[18]domredemp!AK32</f>
        <v>0</v>
      </c>
      <c r="AM33" s="531"/>
      <c r="AN33" s="377"/>
      <c r="AO33" s="417"/>
      <c r="AP33" s="417"/>
      <c r="AQ33" s="596">
        <f>-[18]domredemp!AP14+[18]domredemp!AP32</f>
        <v>0</v>
      </c>
      <c r="AR33" s="531"/>
      <c r="AS33" s="377"/>
      <c r="AT33" s="417"/>
      <c r="AU33" s="417"/>
      <c r="AV33" s="596">
        <f>-[18]domredemp!AU14+[18]domredemp!AU32</f>
        <v>0</v>
      </c>
      <c r="AW33" s="531"/>
      <c r="AX33" s="377"/>
      <c r="AY33" s="417"/>
      <c r="AZ33" s="417"/>
      <c r="BA33" s="596">
        <f>-[18]domredemp!AZ14+[18]domredemp!AZ32</f>
        <v>0</v>
      </c>
      <c r="BB33" s="531"/>
      <c r="BC33" s="377"/>
      <c r="BD33" s="417"/>
      <c r="BE33" s="417"/>
      <c r="BF33" s="596">
        <f>-[18]domredemp!BE14+[18]domredemp!BE32</f>
        <v>0</v>
      </c>
      <c r="BG33" s="531"/>
      <c r="BH33" s="377"/>
      <c r="BI33" s="417"/>
      <c r="BJ33" s="417"/>
      <c r="BK33" s="596">
        <f>-[18]domredemp!BJ14+[18]domredemp!BJ32</f>
        <v>0</v>
      </c>
      <c r="BL33" s="531"/>
      <c r="BM33" s="377"/>
      <c r="BN33" s="417"/>
      <c r="BO33" s="417"/>
      <c r="BP33" s="596">
        <f>-[18]domredemp!BO14+[18]domredemp!BO32</f>
        <v>0</v>
      </c>
      <c r="BQ33" s="531"/>
      <c r="BR33" s="377"/>
      <c r="BS33" s="417"/>
      <c r="BT33" s="417"/>
      <c r="BU33" s="596">
        <f>-[18]domredemp!BT14+[18]domredemp!BT32</f>
        <v>0</v>
      </c>
      <c r="BV33" s="531"/>
      <c r="BW33" s="377"/>
      <c r="BX33" s="465"/>
      <c r="CA33" s="410"/>
      <c r="CB33" s="410" t="e">
        <f>#REF!-#REF!</f>
        <v>#REF!</v>
      </c>
    </row>
    <row r="34" spans="1:80" x14ac:dyDescent="0.2">
      <c r="A34" s="377"/>
      <c r="B34" s="377"/>
      <c r="C34" s="465"/>
      <c r="D34" s="377"/>
      <c r="E34" s="597"/>
      <c r="F34" s="598"/>
      <c r="G34" s="598"/>
      <c r="H34" s="377"/>
      <c r="I34" s="531"/>
      <c r="J34" s="377"/>
      <c r="K34" s="417"/>
      <c r="L34" s="417"/>
      <c r="M34" s="377"/>
      <c r="N34" s="531"/>
      <c r="O34" s="377"/>
      <c r="P34" s="417"/>
      <c r="Q34" s="417"/>
      <c r="R34" s="377"/>
      <c r="S34" s="531"/>
      <c r="T34" s="377"/>
      <c r="U34" s="417"/>
      <c r="V34" s="417"/>
      <c r="W34" s="377"/>
      <c r="X34" s="531"/>
      <c r="Y34" s="377"/>
      <c r="Z34" s="417"/>
      <c r="AA34" s="417"/>
      <c r="AB34" s="377"/>
      <c r="AC34" s="531"/>
      <c r="AD34" s="377"/>
      <c r="AE34" s="417"/>
      <c r="AF34" s="417"/>
      <c r="AG34" s="377"/>
      <c r="AH34" s="531"/>
      <c r="AI34" s="377"/>
      <c r="AJ34" s="417"/>
      <c r="AK34" s="417"/>
      <c r="AL34" s="377"/>
      <c r="AM34" s="531"/>
      <c r="AN34" s="377"/>
      <c r="AO34" s="417"/>
      <c r="AP34" s="417"/>
      <c r="AQ34" s="377"/>
      <c r="AR34" s="531"/>
      <c r="AS34" s="377"/>
      <c r="AT34" s="417"/>
      <c r="AU34" s="417"/>
      <c r="AV34" s="377"/>
      <c r="AW34" s="531"/>
      <c r="AX34" s="377"/>
      <c r="AY34" s="417"/>
      <c r="AZ34" s="417"/>
      <c r="BA34" s="377"/>
      <c r="BB34" s="531"/>
      <c r="BC34" s="377"/>
      <c r="BD34" s="417"/>
      <c r="BE34" s="417"/>
      <c r="BF34" s="377"/>
      <c r="BG34" s="531"/>
      <c r="BH34" s="377"/>
      <c r="BI34" s="417"/>
      <c r="BJ34" s="417"/>
      <c r="BK34" s="377"/>
      <c r="BL34" s="531"/>
      <c r="BM34" s="377"/>
      <c r="BN34" s="417"/>
      <c r="BO34" s="417"/>
      <c r="BP34" s="377"/>
      <c r="BQ34" s="531"/>
      <c r="BR34" s="377"/>
      <c r="BS34" s="417"/>
      <c r="BT34" s="417"/>
      <c r="BU34" s="377"/>
      <c r="BV34" s="531"/>
      <c r="BW34" s="377"/>
      <c r="BX34" s="465"/>
      <c r="CA34" s="410"/>
      <c r="CB34" s="410" t="e">
        <f>#REF!-#REF!</f>
        <v>#REF!</v>
      </c>
    </row>
    <row r="35" spans="1:80" x14ac:dyDescent="0.2">
      <c r="A35" s="377"/>
      <c r="B35" s="377"/>
      <c r="C35" s="465" t="s">
        <v>346</v>
      </c>
      <c r="D35" s="377"/>
      <c r="E35" s="599"/>
      <c r="F35" s="600"/>
      <c r="G35" s="600"/>
      <c r="H35" s="377">
        <f>SUM(H36:H37)</f>
        <v>0</v>
      </c>
      <c r="I35" s="531"/>
      <c r="J35" s="377"/>
      <c r="K35" s="417"/>
      <c r="L35" s="417"/>
      <c r="M35" s="377">
        <f>SUM(M36:M37)</f>
        <v>0</v>
      </c>
      <c r="N35" s="531"/>
      <c r="O35" s="377"/>
      <c r="P35" s="417"/>
      <c r="Q35" s="417"/>
      <c r="R35" s="377">
        <f>SUM(R36:R37)</f>
        <v>0</v>
      </c>
      <c r="S35" s="531"/>
      <c r="T35" s="377"/>
      <c r="U35" s="417"/>
      <c r="V35" s="417"/>
      <c r="W35" s="377">
        <f>SUM(W36:W37)</f>
        <v>0</v>
      </c>
      <c r="X35" s="531"/>
      <c r="Y35" s="377"/>
      <c r="Z35" s="417"/>
      <c r="AA35" s="417"/>
      <c r="AB35" s="377">
        <f>SUM(AB36:AB37)</f>
        <v>0</v>
      </c>
      <c r="AC35" s="531"/>
      <c r="AD35" s="377"/>
      <c r="AE35" s="417"/>
      <c r="AF35" s="417"/>
      <c r="AG35" s="377">
        <f>SUM(AG36:AG37)</f>
        <v>0</v>
      </c>
      <c r="AH35" s="531"/>
      <c r="AI35" s="377"/>
      <c r="AJ35" s="417"/>
      <c r="AK35" s="417"/>
      <c r="AL35" s="377">
        <f>SUM(AL36:AL37)</f>
        <v>0</v>
      </c>
      <c r="AM35" s="531"/>
      <c r="AN35" s="377"/>
      <c r="AO35" s="417"/>
      <c r="AP35" s="417"/>
      <c r="AQ35" s="377">
        <f>SUM(AQ36:AQ37)</f>
        <v>0</v>
      </c>
      <c r="AR35" s="531"/>
      <c r="AS35" s="377"/>
      <c r="AT35" s="417"/>
      <c r="AU35" s="417"/>
      <c r="AV35" s="377">
        <f>SUM(AV36:AV37)</f>
        <v>0</v>
      </c>
      <c r="AW35" s="531"/>
      <c r="AX35" s="377"/>
      <c r="AY35" s="417"/>
      <c r="AZ35" s="417"/>
      <c r="BA35" s="377">
        <f>SUM(BA36:BA37)</f>
        <v>0</v>
      </c>
      <c r="BB35" s="531"/>
      <c r="BC35" s="377"/>
      <c r="BD35" s="417"/>
      <c r="BE35" s="417"/>
      <c r="BF35" s="377">
        <f>SUM(BF36:BF37)</f>
        <v>0</v>
      </c>
      <c r="BG35" s="531"/>
      <c r="BH35" s="377"/>
      <c r="BI35" s="417"/>
      <c r="BJ35" s="417"/>
      <c r="BK35" s="377">
        <f>SUM(BK36:BK37)</f>
        <v>0</v>
      </c>
      <c r="BL35" s="531"/>
      <c r="BM35" s="377"/>
      <c r="BN35" s="417"/>
      <c r="BO35" s="417"/>
      <c r="BP35" s="377">
        <f>SUM(BP36:BP37)</f>
        <v>0</v>
      </c>
      <c r="BQ35" s="531"/>
      <c r="BR35" s="377"/>
      <c r="BS35" s="417"/>
      <c r="BT35" s="417"/>
      <c r="BU35" s="377">
        <f>SUM(BU36:BU37)</f>
        <v>0</v>
      </c>
      <c r="BV35" s="531"/>
      <c r="BW35" s="377"/>
      <c r="BX35" s="465"/>
      <c r="CA35" s="410"/>
      <c r="CB35" s="410" t="e">
        <f>#REF!-#REF!</f>
        <v>#REF!</v>
      </c>
    </row>
    <row r="36" spans="1:80" x14ac:dyDescent="0.2">
      <c r="A36" s="377"/>
      <c r="B36" s="377"/>
      <c r="C36" s="465" t="s">
        <v>347</v>
      </c>
      <c r="D36" s="377"/>
      <c r="E36" s="597" t="s">
        <v>337</v>
      </c>
      <c r="F36" s="598"/>
      <c r="G36" s="598"/>
      <c r="H36" s="593">
        <f>[18]domlongtermissues!G15</f>
        <v>0</v>
      </c>
      <c r="I36" s="531"/>
      <c r="J36" s="377"/>
      <c r="K36" s="417"/>
      <c r="L36" s="417"/>
      <c r="M36" s="593">
        <f>[18]domlongtermissues!L15</f>
        <v>487336</v>
      </c>
      <c r="N36" s="531"/>
      <c r="O36" s="377"/>
      <c r="P36" s="417"/>
      <c r="Q36" s="417"/>
      <c r="R36" s="593">
        <f>[18]domlongtermissues!Q15</f>
        <v>29682</v>
      </c>
      <c r="S36" s="531"/>
      <c r="T36" s="377"/>
      <c r="U36" s="417"/>
      <c r="V36" s="417"/>
      <c r="W36" s="593">
        <f>[18]domlongtermissues!V15</f>
        <v>28489</v>
      </c>
      <c r="X36" s="531"/>
      <c r="Y36" s="377"/>
      <c r="Z36" s="417"/>
      <c r="AA36" s="417"/>
      <c r="AB36" s="593">
        <f>[18]domlongtermissues!AA15</f>
        <v>0</v>
      </c>
      <c r="AC36" s="531"/>
      <c r="AD36" s="377"/>
      <c r="AE36" s="417"/>
      <c r="AF36" s="417"/>
      <c r="AG36" s="593">
        <f>[18]domlongtermissues!AF15</f>
        <v>41191</v>
      </c>
      <c r="AH36" s="531"/>
      <c r="AI36" s="377"/>
      <c r="AJ36" s="417"/>
      <c r="AK36" s="417"/>
      <c r="AL36" s="593">
        <f>[18]domlongtermissues!AK15</f>
        <v>18552</v>
      </c>
      <c r="AM36" s="531"/>
      <c r="AN36" s="377"/>
      <c r="AO36" s="417"/>
      <c r="AP36" s="417"/>
      <c r="AQ36" s="593">
        <f>[18]domlongtermissues!AP15</f>
        <v>0</v>
      </c>
      <c r="AR36" s="531"/>
      <c r="AS36" s="377"/>
      <c r="AT36" s="417"/>
      <c r="AU36" s="417"/>
      <c r="AV36" s="593">
        <f>[18]domlongtermissues!AU15</f>
        <v>0</v>
      </c>
      <c r="AW36" s="531"/>
      <c r="AX36" s="377"/>
      <c r="AY36" s="417"/>
      <c r="AZ36" s="417"/>
      <c r="BA36" s="593">
        <f>[18]domlongtermissues!AZ15</f>
        <v>0</v>
      </c>
      <c r="BB36" s="531"/>
      <c r="BC36" s="377"/>
      <c r="BD36" s="417"/>
      <c r="BE36" s="417"/>
      <c r="BF36" s="593">
        <f>[18]domlongtermissues!BE15</f>
        <v>0</v>
      </c>
      <c r="BG36" s="531"/>
      <c r="BH36" s="377"/>
      <c r="BI36" s="417"/>
      <c r="BJ36" s="417"/>
      <c r="BK36" s="593">
        <f>[18]domlongtermissues!BJ15</f>
        <v>0</v>
      </c>
      <c r="BL36" s="531"/>
      <c r="BM36" s="377"/>
      <c r="BN36" s="417"/>
      <c r="BO36" s="417"/>
      <c r="BP36" s="593">
        <f>[18]domlongtermissues!BO15</f>
        <v>0</v>
      </c>
      <c r="BQ36" s="531"/>
      <c r="BR36" s="377"/>
      <c r="BS36" s="417"/>
      <c r="BT36" s="417"/>
      <c r="BU36" s="593">
        <f>[18]domlongtermissues!BT15</f>
        <v>605250</v>
      </c>
      <c r="BV36" s="531"/>
      <c r="BW36" s="377"/>
      <c r="BX36" s="465"/>
      <c r="CA36" s="410"/>
      <c r="CB36" s="410" t="e">
        <f>#REF!-#REF!</f>
        <v>#REF!</v>
      </c>
    </row>
    <row r="37" spans="1:80" x14ac:dyDescent="0.2">
      <c r="A37" s="377"/>
      <c r="B37" s="377"/>
      <c r="C37" s="465" t="s">
        <v>348</v>
      </c>
      <c r="D37" s="377"/>
      <c r="E37" s="597" t="s">
        <v>340</v>
      </c>
      <c r="F37" s="598"/>
      <c r="G37" s="598"/>
      <c r="H37" s="596">
        <f>-[18]domredemp!G15</f>
        <v>0</v>
      </c>
      <c r="I37" s="531"/>
      <c r="J37" s="377"/>
      <c r="K37" s="417"/>
      <c r="L37" s="417"/>
      <c r="M37" s="596">
        <f>-[18]domredemp!L15</f>
        <v>-487336</v>
      </c>
      <c r="N37" s="531"/>
      <c r="O37" s="377"/>
      <c r="P37" s="417"/>
      <c r="Q37" s="417"/>
      <c r="R37" s="596">
        <f>-[18]domredemp!Q15</f>
        <v>-29682</v>
      </c>
      <c r="S37" s="531"/>
      <c r="T37" s="377"/>
      <c r="U37" s="417"/>
      <c r="V37" s="417"/>
      <c r="W37" s="596">
        <f>-[18]domredemp!V15</f>
        <v>-28489</v>
      </c>
      <c r="X37" s="531"/>
      <c r="Y37" s="377"/>
      <c r="Z37" s="417"/>
      <c r="AA37" s="417"/>
      <c r="AB37" s="596">
        <f>-[18]domredemp!AA15</f>
        <v>0</v>
      </c>
      <c r="AC37" s="531"/>
      <c r="AD37" s="377"/>
      <c r="AE37" s="417"/>
      <c r="AF37" s="417"/>
      <c r="AG37" s="596">
        <f>-[18]domredemp!AF15</f>
        <v>-41191</v>
      </c>
      <c r="AH37" s="531"/>
      <c r="AI37" s="377"/>
      <c r="AJ37" s="417"/>
      <c r="AK37" s="417"/>
      <c r="AL37" s="596">
        <f>-[18]domredemp!AK15</f>
        <v>-18552</v>
      </c>
      <c r="AM37" s="531"/>
      <c r="AN37" s="377"/>
      <c r="AO37" s="417"/>
      <c r="AP37" s="417"/>
      <c r="AQ37" s="596">
        <f>-[18]domredemp!AP15</f>
        <v>0</v>
      </c>
      <c r="AR37" s="531"/>
      <c r="AS37" s="377"/>
      <c r="AT37" s="417"/>
      <c r="AU37" s="417"/>
      <c r="AV37" s="596">
        <f>-[18]domredemp!AU15</f>
        <v>0</v>
      </c>
      <c r="AW37" s="531"/>
      <c r="AX37" s="377"/>
      <c r="AY37" s="417"/>
      <c r="AZ37" s="417"/>
      <c r="BA37" s="596">
        <f>-[18]domredemp!AZ15</f>
        <v>0</v>
      </c>
      <c r="BB37" s="531"/>
      <c r="BC37" s="377"/>
      <c r="BD37" s="417"/>
      <c r="BE37" s="417"/>
      <c r="BF37" s="596">
        <f>-[18]domredemp!BE15</f>
        <v>0</v>
      </c>
      <c r="BG37" s="531"/>
      <c r="BH37" s="377"/>
      <c r="BI37" s="417"/>
      <c r="BJ37" s="417"/>
      <c r="BK37" s="596">
        <f>-[18]domredemp!BJ15</f>
        <v>0</v>
      </c>
      <c r="BL37" s="531"/>
      <c r="BM37" s="377"/>
      <c r="BN37" s="417"/>
      <c r="BO37" s="417"/>
      <c r="BP37" s="596">
        <f>-[18]domredemp!BO15</f>
        <v>0</v>
      </c>
      <c r="BQ37" s="531"/>
      <c r="BR37" s="377"/>
      <c r="BS37" s="417"/>
      <c r="BT37" s="417"/>
      <c r="BU37" s="596">
        <f>-[18]domredemp!BT15</f>
        <v>-605250</v>
      </c>
      <c r="BV37" s="531"/>
      <c r="BW37" s="377"/>
      <c r="BX37" s="465"/>
      <c r="CA37" s="410"/>
      <c r="CB37" s="410" t="e">
        <f>#REF!-#REF!</f>
        <v>#REF!</v>
      </c>
    </row>
    <row r="38" spans="1:80" ht="12.75" hidden="1" customHeight="1" x14ac:dyDescent="0.2">
      <c r="A38" s="377"/>
      <c r="B38" s="377"/>
      <c r="C38" s="465"/>
      <c r="D38" s="377"/>
      <c r="E38" s="597"/>
      <c r="F38" s="598"/>
      <c r="G38" s="598"/>
      <c r="H38" s="377"/>
      <c r="I38" s="531"/>
      <c r="J38" s="377"/>
      <c r="K38" s="417"/>
      <c r="L38" s="417"/>
      <c r="M38" s="377"/>
      <c r="N38" s="531"/>
      <c r="O38" s="377"/>
      <c r="P38" s="417"/>
      <c r="Q38" s="417"/>
      <c r="R38" s="377"/>
      <c r="S38" s="531"/>
      <c r="T38" s="377"/>
      <c r="U38" s="417"/>
      <c r="V38" s="417"/>
      <c r="W38" s="377"/>
      <c r="X38" s="531"/>
      <c r="Y38" s="377"/>
      <c r="Z38" s="417"/>
      <c r="AA38" s="417"/>
      <c r="AB38" s="377"/>
      <c r="AC38" s="531"/>
      <c r="AD38" s="377"/>
      <c r="AE38" s="417"/>
      <c r="AF38" s="417"/>
      <c r="AG38" s="377"/>
      <c r="AH38" s="531"/>
      <c r="AI38" s="377"/>
      <c r="AJ38" s="417"/>
      <c r="AK38" s="417"/>
      <c r="AL38" s="377"/>
      <c r="AM38" s="531"/>
      <c r="AN38" s="377"/>
      <c r="AO38" s="417"/>
      <c r="AP38" s="417"/>
      <c r="AQ38" s="377"/>
      <c r="AR38" s="531"/>
      <c r="AS38" s="377"/>
      <c r="AT38" s="417"/>
      <c r="AU38" s="417"/>
      <c r="AV38" s="377"/>
      <c r="AW38" s="531"/>
      <c r="AX38" s="377"/>
      <c r="AY38" s="417"/>
      <c r="AZ38" s="417"/>
      <c r="BA38" s="377"/>
      <c r="BB38" s="531"/>
      <c r="BC38" s="377"/>
      <c r="BD38" s="417"/>
      <c r="BE38" s="417"/>
      <c r="BF38" s="377"/>
      <c r="BG38" s="531"/>
      <c r="BH38" s="377"/>
      <c r="BI38" s="417"/>
      <c r="BJ38" s="417"/>
      <c r="BK38" s="377"/>
      <c r="BL38" s="531"/>
      <c r="BM38" s="377"/>
      <c r="BN38" s="417"/>
      <c r="BO38" s="417"/>
      <c r="BP38" s="377"/>
      <c r="BQ38" s="531"/>
      <c r="BR38" s="377"/>
      <c r="BS38" s="417"/>
      <c r="BT38" s="417"/>
      <c r="BU38" s="377"/>
      <c r="BV38" s="531"/>
      <c r="BW38" s="377"/>
      <c r="BX38" s="465"/>
      <c r="CA38" s="410"/>
      <c r="CB38" s="410" t="e">
        <f>#REF!-#REF!</f>
        <v>#REF!</v>
      </c>
    </row>
    <row r="39" spans="1:80" ht="12.75" hidden="1" customHeight="1" x14ac:dyDescent="0.2">
      <c r="A39" s="377"/>
      <c r="B39" s="377"/>
      <c r="C39" s="465" t="s">
        <v>349</v>
      </c>
      <c r="D39" s="601" t="s">
        <v>86</v>
      </c>
      <c r="E39" s="599"/>
      <c r="F39" s="600"/>
      <c r="G39" s="600"/>
      <c r="H39" s="377">
        <v>0</v>
      </c>
      <c r="I39" s="531"/>
      <c r="J39" s="377"/>
      <c r="K39" s="417"/>
      <c r="L39" s="417"/>
      <c r="M39" s="377">
        <f>SUM(M40:M40)</f>
        <v>0</v>
      </c>
      <c r="N39" s="531"/>
      <c r="O39" s="377"/>
      <c r="P39" s="417"/>
      <c r="Q39" s="417"/>
      <c r="R39" s="377">
        <f>SUM(R40:R40)</f>
        <v>0</v>
      </c>
      <c r="S39" s="531"/>
      <c r="T39" s="377"/>
      <c r="U39" s="417"/>
      <c r="V39" s="417"/>
      <c r="W39" s="377">
        <f>SUM(W40:W40)</f>
        <v>0</v>
      </c>
      <c r="X39" s="531"/>
      <c r="Y39" s="377"/>
      <c r="Z39" s="417"/>
      <c r="AA39" s="417"/>
      <c r="AB39" s="377">
        <f>SUM(AB40:AB40)</f>
        <v>0</v>
      </c>
      <c r="AC39" s="531"/>
      <c r="AD39" s="377"/>
      <c r="AE39" s="417"/>
      <c r="AF39" s="417"/>
      <c r="AG39" s="377">
        <f>SUM(AG40:AG40)</f>
        <v>0</v>
      </c>
      <c r="AH39" s="531"/>
      <c r="AI39" s="377"/>
      <c r="AJ39" s="417"/>
      <c r="AK39" s="417"/>
      <c r="AL39" s="377">
        <f>SUM(AL40:AL40)</f>
        <v>0</v>
      </c>
      <c r="AM39" s="531"/>
      <c r="AN39" s="377"/>
      <c r="AO39" s="417"/>
      <c r="AP39" s="417"/>
      <c r="AQ39" s="377">
        <f>SUM(AQ40:AQ40)</f>
        <v>0</v>
      </c>
      <c r="AR39" s="531"/>
      <c r="AS39" s="377"/>
      <c r="AT39" s="417"/>
      <c r="AU39" s="417"/>
      <c r="AV39" s="377">
        <f>SUM(AV40:AV40)</f>
        <v>0</v>
      </c>
      <c r="AW39" s="531"/>
      <c r="AX39" s="377"/>
      <c r="AY39" s="417"/>
      <c r="AZ39" s="417"/>
      <c r="BA39" s="377">
        <f>SUM(BA40:BA40)</f>
        <v>0</v>
      </c>
      <c r="BB39" s="531"/>
      <c r="BC39" s="377"/>
      <c r="BD39" s="417"/>
      <c r="BE39" s="417"/>
      <c r="BF39" s="377">
        <f>SUM(BF40:BF40)</f>
        <v>0</v>
      </c>
      <c r="BG39" s="531"/>
      <c r="BH39" s="377"/>
      <c r="BI39" s="417"/>
      <c r="BJ39" s="417"/>
      <c r="BK39" s="377">
        <f>SUM(BK40:BK40)</f>
        <v>0</v>
      </c>
      <c r="BL39" s="531"/>
      <c r="BM39" s="377"/>
      <c r="BN39" s="417"/>
      <c r="BO39" s="417"/>
      <c r="BP39" s="377">
        <f>SUM(BP40:BP40)</f>
        <v>0</v>
      </c>
      <c r="BQ39" s="531"/>
      <c r="BR39" s="377"/>
      <c r="BS39" s="417"/>
      <c r="BT39" s="417"/>
      <c r="BU39" s="377">
        <f>SUM(BU40:BU40)</f>
        <v>0</v>
      </c>
      <c r="BV39" s="531"/>
      <c r="BW39" s="377"/>
      <c r="BX39" s="465"/>
      <c r="CA39" s="410"/>
      <c r="CB39" s="410" t="e">
        <f>#REF!-#REF!</f>
        <v>#REF!</v>
      </c>
    </row>
    <row r="40" spans="1:80" ht="12.75" hidden="1" customHeight="1" x14ac:dyDescent="0.2">
      <c r="A40" s="377"/>
      <c r="B40" s="377"/>
      <c r="C40" s="465" t="s">
        <v>343</v>
      </c>
      <c r="D40" s="377"/>
      <c r="E40" s="597" t="s">
        <v>337</v>
      </c>
      <c r="F40" s="598"/>
      <c r="G40" s="598"/>
      <c r="H40" s="602">
        <v>0</v>
      </c>
      <c r="I40" s="531"/>
      <c r="J40" s="377"/>
      <c r="K40" s="417"/>
      <c r="L40" s="417"/>
      <c r="M40" s="602">
        <f>[18]domlongtermissues!L16</f>
        <v>0</v>
      </c>
      <c r="N40" s="531"/>
      <c r="O40" s="377"/>
      <c r="P40" s="417"/>
      <c r="Q40" s="417"/>
      <c r="R40" s="602">
        <f>[18]domlongtermissues!Q16</f>
        <v>0</v>
      </c>
      <c r="S40" s="531"/>
      <c r="T40" s="377"/>
      <c r="U40" s="417"/>
      <c r="V40" s="417"/>
      <c r="W40" s="602">
        <f>[18]domlongtermissues!V16</f>
        <v>0</v>
      </c>
      <c r="X40" s="531"/>
      <c r="Y40" s="377"/>
      <c r="Z40" s="417"/>
      <c r="AA40" s="417"/>
      <c r="AB40" s="602">
        <f>[18]domlongtermissues!AA16</f>
        <v>0</v>
      </c>
      <c r="AC40" s="531"/>
      <c r="AD40" s="377"/>
      <c r="AE40" s="417"/>
      <c r="AF40" s="417"/>
      <c r="AG40" s="602">
        <f>[18]domlongtermissues!AF16</f>
        <v>0</v>
      </c>
      <c r="AH40" s="531"/>
      <c r="AI40" s="377"/>
      <c r="AJ40" s="417"/>
      <c r="AK40" s="417"/>
      <c r="AL40" s="602">
        <f>[18]domlongtermissues!AK16</f>
        <v>0</v>
      </c>
      <c r="AM40" s="531"/>
      <c r="AN40" s="377"/>
      <c r="AO40" s="417"/>
      <c r="AP40" s="417"/>
      <c r="AQ40" s="602">
        <f>[18]domlongtermissues!AP16</f>
        <v>0</v>
      </c>
      <c r="AR40" s="531"/>
      <c r="AS40" s="377"/>
      <c r="AT40" s="417"/>
      <c r="AU40" s="417"/>
      <c r="AV40" s="602">
        <f>[18]domlongtermissues!AU16</f>
        <v>0</v>
      </c>
      <c r="AW40" s="531"/>
      <c r="AX40" s="377"/>
      <c r="AY40" s="417"/>
      <c r="AZ40" s="417"/>
      <c r="BA40" s="602">
        <f>[18]domlongtermissues!AZ16</f>
        <v>0</v>
      </c>
      <c r="BB40" s="531"/>
      <c r="BC40" s="377"/>
      <c r="BD40" s="417"/>
      <c r="BE40" s="417"/>
      <c r="BF40" s="602">
        <f>[18]domlongtermissues!BE16</f>
        <v>0</v>
      </c>
      <c r="BG40" s="531"/>
      <c r="BH40" s="377"/>
      <c r="BI40" s="417"/>
      <c r="BJ40" s="417"/>
      <c r="BK40" s="602">
        <f>[18]domlongtermissues!BJ16</f>
        <v>0</v>
      </c>
      <c r="BL40" s="531"/>
      <c r="BM40" s="377"/>
      <c r="BN40" s="417"/>
      <c r="BO40" s="417"/>
      <c r="BP40" s="377">
        <f>[18]domlongtermissues!BO16</f>
        <v>0</v>
      </c>
      <c r="BQ40" s="531"/>
      <c r="BR40" s="377"/>
      <c r="BS40" s="417"/>
      <c r="BT40" s="417"/>
      <c r="BU40" s="602">
        <f>[18]domlongtermissues!BT16</f>
        <v>0</v>
      </c>
      <c r="BV40" s="531"/>
      <c r="BW40" s="377"/>
      <c r="BX40" s="465"/>
      <c r="CA40" s="410"/>
      <c r="CB40" s="410" t="e">
        <f>#REF!-#REF!</f>
        <v>#REF!</v>
      </c>
    </row>
    <row r="41" spans="1:80" x14ac:dyDescent="0.2">
      <c r="A41" s="377"/>
      <c r="B41" s="377"/>
      <c r="C41" s="465"/>
      <c r="D41" s="377"/>
      <c r="E41" s="599"/>
      <c r="F41" s="600"/>
      <c r="G41" s="603"/>
      <c r="H41" s="462"/>
      <c r="I41" s="533"/>
      <c r="J41" s="377"/>
      <c r="K41" s="417"/>
      <c r="L41" s="478"/>
      <c r="M41" s="462"/>
      <c r="N41" s="533"/>
      <c r="O41" s="377"/>
      <c r="P41" s="417"/>
      <c r="Q41" s="478"/>
      <c r="R41" s="462"/>
      <c r="S41" s="533"/>
      <c r="T41" s="377"/>
      <c r="U41" s="417"/>
      <c r="V41" s="478"/>
      <c r="W41" s="462"/>
      <c r="X41" s="533"/>
      <c r="Y41" s="377"/>
      <c r="Z41" s="417"/>
      <c r="AA41" s="478"/>
      <c r="AB41" s="462"/>
      <c r="AC41" s="533"/>
      <c r="AD41" s="377"/>
      <c r="AE41" s="417"/>
      <c r="AF41" s="478"/>
      <c r="AG41" s="462"/>
      <c r="AH41" s="533"/>
      <c r="AI41" s="377"/>
      <c r="AJ41" s="417"/>
      <c r="AK41" s="478"/>
      <c r="AL41" s="462"/>
      <c r="AM41" s="533"/>
      <c r="AN41" s="377"/>
      <c r="AO41" s="417"/>
      <c r="AP41" s="478"/>
      <c r="AQ41" s="462"/>
      <c r="AR41" s="533"/>
      <c r="AS41" s="377"/>
      <c r="AT41" s="417"/>
      <c r="AU41" s="478"/>
      <c r="AV41" s="462"/>
      <c r="AW41" s="533"/>
      <c r="AX41" s="377"/>
      <c r="AY41" s="417"/>
      <c r="AZ41" s="478"/>
      <c r="BA41" s="462"/>
      <c r="BB41" s="533"/>
      <c r="BC41" s="377"/>
      <c r="BD41" s="417"/>
      <c r="BE41" s="478"/>
      <c r="BF41" s="462"/>
      <c r="BG41" s="533"/>
      <c r="BH41" s="377"/>
      <c r="BI41" s="417"/>
      <c r="BJ41" s="478"/>
      <c r="BK41" s="462"/>
      <c r="BL41" s="533"/>
      <c r="BM41" s="377"/>
      <c r="BN41" s="417"/>
      <c r="BO41" s="478"/>
      <c r="BP41" s="462"/>
      <c r="BQ41" s="533"/>
      <c r="BR41" s="377"/>
      <c r="BS41" s="417"/>
      <c r="BT41" s="478"/>
      <c r="BU41" s="462"/>
      <c r="BV41" s="533"/>
      <c r="BW41" s="377"/>
      <c r="BX41" s="465"/>
      <c r="CA41" s="410"/>
      <c r="CB41" s="410" t="e">
        <f>#REF!-#REF!</f>
        <v>#REF!</v>
      </c>
    </row>
    <row r="42" spans="1:80" hidden="1" x14ac:dyDescent="0.2">
      <c r="A42" s="377"/>
      <c r="B42" s="377"/>
      <c r="C42" s="465"/>
      <c r="D42" s="377"/>
      <c r="E42" s="599"/>
      <c r="F42" s="600"/>
      <c r="G42" s="604"/>
      <c r="H42" s="377"/>
      <c r="I42" s="377"/>
      <c r="J42" s="377"/>
      <c r="K42" s="417"/>
      <c r="L42" s="377"/>
      <c r="M42" s="377"/>
      <c r="N42" s="377"/>
      <c r="O42" s="377"/>
      <c r="P42" s="417"/>
      <c r="Q42" s="377"/>
      <c r="R42" s="377"/>
      <c r="S42" s="377"/>
      <c r="T42" s="377"/>
      <c r="U42" s="417"/>
      <c r="V42" s="377"/>
      <c r="W42" s="377"/>
      <c r="X42" s="377"/>
      <c r="Y42" s="377"/>
      <c r="Z42" s="417"/>
      <c r="AA42" s="377"/>
      <c r="AB42" s="377"/>
      <c r="AC42" s="377"/>
      <c r="AD42" s="377"/>
      <c r="AE42" s="417"/>
      <c r="AF42" s="377"/>
      <c r="AG42" s="377"/>
      <c r="AH42" s="377"/>
      <c r="AI42" s="377"/>
      <c r="AJ42" s="417"/>
      <c r="AK42" s="377"/>
      <c r="AL42" s="377"/>
      <c r="AM42" s="377"/>
      <c r="AN42" s="377"/>
      <c r="AO42" s="417"/>
      <c r="AP42" s="377"/>
      <c r="AQ42" s="377"/>
      <c r="AR42" s="377"/>
      <c r="AS42" s="377"/>
      <c r="AT42" s="417"/>
      <c r="AU42" s="377"/>
      <c r="AV42" s="377"/>
      <c r="AW42" s="377"/>
      <c r="AX42" s="377"/>
      <c r="AY42" s="417"/>
      <c r="AZ42" s="377"/>
      <c r="BA42" s="377"/>
      <c r="BB42" s="377"/>
      <c r="BC42" s="377"/>
      <c r="BD42" s="417"/>
      <c r="BE42" s="377"/>
      <c r="BF42" s="377"/>
      <c r="BG42" s="377"/>
      <c r="BH42" s="377"/>
      <c r="BI42" s="417"/>
      <c r="BJ42" s="377"/>
      <c r="BK42" s="377"/>
      <c r="BL42" s="377"/>
      <c r="BM42" s="377"/>
      <c r="BN42" s="417"/>
      <c r="BO42" s="377"/>
      <c r="BP42" s="377"/>
      <c r="BQ42" s="377"/>
      <c r="BR42" s="377"/>
      <c r="BS42" s="417"/>
      <c r="BT42" s="377"/>
      <c r="BU42" s="377"/>
      <c r="BV42" s="377"/>
      <c r="BW42" s="377"/>
      <c r="BX42" s="465"/>
      <c r="CA42" s="410"/>
      <c r="CB42" s="410" t="e">
        <f>#REF!-#REF!</f>
        <v>#REF!</v>
      </c>
    </row>
    <row r="43" spans="1:80" x14ac:dyDescent="0.2">
      <c r="A43" s="377"/>
      <c r="B43" s="377"/>
      <c r="C43" s="465"/>
      <c r="D43" s="377"/>
      <c r="E43" s="599"/>
      <c r="F43" s="600"/>
      <c r="G43" s="604"/>
      <c r="H43" s="377"/>
      <c r="I43" s="377"/>
      <c r="J43" s="377"/>
      <c r="K43" s="417"/>
      <c r="L43" s="377"/>
      <c r="M43" s="377"/>
      <c r="N43" s="377"/>
      <c r="O43" s="377"/>
      <c r="P43" s="417"/>
      <c r="Q43" s="377"/>
      <c r="R43" s="377"/>
      <c r="S43" s="377"/>
      <c r="T43" s="377"/>
      <c r="U43" s="417"/>
      <c r="V43" s="377"/>
      <c r="W43" s="377"/>
      <c r="X43" s="377"/>
      <c r="Y43" s="377"/>
      <c r="Z43" s="417"/>
      <c r="AA43" s="377"/>
      <c r="AB43" s="377"/>
      <c r="AC43" s="377"/>
      <c r="AD43" s="377"/>
      <c r="AE43" s="417"/>
      <c r="AF43" s="377"/>
      <c r="AG43" s="377"/>
      <c r="AH43" s="377"/>
      <c r="AI43" s="377"/>
      <c r="AJ43" s="417"/>
      <c r="AK43" s="377"/>
      <c r="AL43" s="377"/>
      <c r="AM43" s="377"/>
      <c r="AN43" s="377"/>
      <c r="AO43" s="417"/>
      <c r="AP43" s="377"/>
      <c r="AQ43" s="377"/>
      <c r="AR43" s="377"/>
      <c r="AS43" s="377"/>
      <c r="AT43" s="417"/>
      <c r="AU43" s="377"/>
      <c r="AV43" s="377"/>
      <c r="AW43" s="377"/>
      <c r="AX43" s="377"/>
      <c r="AY43" s="417"/>
      <c r="AZ43" s="377"/>
      <c r="BA43" s="377"/>
      <c r="BB43" s="377"/>
      <c r="BC43" s="377"/>
      <c r="BD43" s="417"/>
      <c r="BE43" s="377"/>
      <c r="BF43" s="377"/>
      <c r="BG43" s="377"/>
      <c r="BH43" s="377"/>
      <c r="BI43" s="417"/>
      <c r="BJ43" s="377"/>
      <c r="BK43" s="377"/>
      <c r="BL43" s="377"/>
      <c r="BM43" s="377"/>
      <c r="BN43" s="417"/>
      <c r="BO43" s="377"/>
      <c r="BP43" s="377"/>
      <c r="BQ43" s="377"/>
      <c r="BR43" s="377"/>
      <c r="BS43" s="417"/>
      <c r="BT43" s="377"/>
      <c r="BU43" s="377"/>
      <c r="BV43" s="377"/>
      <c r="BW43" s="377"/>
      <c r="BX43" s="465"/>
      <c r="CA43" s="410"/>
      <c r="CB43" s="410" t="e">
        <f>#REF!-#REF!</f>
        <v>#REF!</v>
      </c>
    </row>
    <row r="44" spans="1:80" s="410" customFormat="1" x14ac:dyDescent="0.2">
      <c r="A44" s="411"/>
      <c r="B44" s="411"/>
      <c r="C44" s="455" t="s">
        <v>350</v>
      </c>
      <c r="D44" s="411"/>
      <c r="E44" s="597" t="s">
        <v>351</v>
      </c>
      <c r="F44" s="598"/>
      <c r="G44" s="605"/>
      <c r="H44" s="411">
        <f>+H45+H52+H59</f>
        <v>110568000</v>
      </c>
      <c r="I44" s="411"/>
      <c r="J44" s="411"/>
      <c r="K44" s="485"/>
      <c r="L44" s="605"/>
      <c r="M44" s="411">
        <f>+M45+M52+M59</f>
        <v>-777665</v>
      </c>
      <c r="N44" s="411"/>
      <c r="O44" s="411"/>
      <c r="P44" s="485"/>
      <c r="Q44" s="605"/>
      <c r="R44" s="411">
        <f>+R45+R52+R59</f>
        <v>-4931986</v>
      </c>
      <c r="S44" s="411"/>
      <c r="T44" s="411"/>
      <c r="U44" s="485"/>
      <c r="V44" s="605"/>
      <c r="W44" s="411">
        <f>+W45+W52+W59</f>
        <v>-8699700</v>
      </c>
      <c r="X44" s="411"/>
      <c r="Y44" s="411"/>
      <c r="Z44" s="485"/>
      <c r="AA44" s="605"/>
      <c r="AB44" s="411">
        <f>+AB45+AB52+AB59</f>
        <v>86911584</v>
      </c>
      <c r="AC44" s="411"/>
      <c r="AD44" s="411"/>
      <c r="AE44" s="485"/>
      <c r="AF44" s="605"/>
      <c r="AG44" s="411">
        <f>+AG45+AG52+AG59</f>
        <v>0</v>
      </c>
      <c r="AH44" s="411"/>
      <c r="AI44" s="411"/>
      <c r="AJ44" s="485"/>
      <c r="AK44" s="605"/>
      <c r="AL44" s="411">
        <f>+AL45+AL52+AL59</f>
        <v>0</v>
      </c>
      <c r="AM44" s="411"/>
      <c r="AN44" s="411"/>
      <c r="AO44" s="485"/>
      <c r="AP44" s="605"/>
      <c r="AQ44" s="411">
        <f>+AQ45+AQ52+AQ59</f>
        <v>0</v>
      </c>
      <c r="AR44" s="411"/>
      <c r="AS44" s="411"/>
      <c r="AT44" s="485"/>
      <c r="AU44" s="605"/>
      <c r="AV44" s="411">
        <f>+AV45+AV52+AV59</f>
        <v>0</v>
      </c>
      <c r="AW44" s="411"/>
      <c r="AX44" s="411"/>
      <c r="AY44" s="485"/>
      <c r="AZ44" s="605"/>
      <c r="BA44" s="411">
        <f>+BA45+BA52+BA59</f>
        <v>0</v>
      </c>
      <c r="BB44" s="411"/>
      <c r="BC44" s="411"/>
      <c r="BD44" s="485"/>
      <c r="BE44" s="605"/>
      <c r="BF44" s="411">
        <f>+BF45+BF52+BF59</f>
        <v>0</v>
      </c>
      <c r="BG44" s="411"/>
      <c r="BH44" s="411"/>
      <c r="BI44" s="485"/>
      <c r="BJ44" s="605"/>
      <c r="BK44" s="411">
        <f>+BK45+BK52+BK59</f>
        <v>0</v>
      </c>
      <c r="BL44" s="411"/>
      <c r="BM44" s="411"/>
      <c r="BN44" s="485"/>
      <c r="BO44" s="605"/>
      <c r="BP44" s="411">
        <f>+BP45+BP52+BP59</f>
        <v>0</v>
      </c>
      <c r="BQ44" s="411"/>
      <c r="BR44" s="411"/>
      <c r="BS44" s="485"/>
      <c r="BT44" s="605"/>
      <c r="BU44" s="411">
        <f>+BU45+BU52+BU59</f>
        <v>72502233</v>
      </c>
      <c r="BV44" s="411"/>
      <c r="BW44" s="411"/>
      <c r="BX44" s="455"/>
      <c r="BY44" s="411"/>
      <c r="CB44" s="410" t="e">
        <f>#REF!-#REF!</f>
        <v>#REF!</v>
      </c>
    </row>
    <row r="45" spans="1:80" x14ac:dyDescent="0.2">
      <c r="A45" s="377"/>
      <c r="B45" s="377"/>
      <c r="C45" s="465" t="s">
        <v>335</v>
      </c>
      <c r="D45" s="377"/>
      <c r="E45" s="599"/>
      <c r="F45" s="600"/>
      <c r="G45" s="606"/>
      <c r="H45" s="466">
        <f>SUM(H46:H50)</f>
        <v>110568000</v>
      </c>
      <c r="I45" s="529"/>
      <c r="J45" s="377"/>
      <c r="K45" s="417"/>
      <c r="L45" s="606"/>
      <c r="M45" s="466">
        <f>SUM(M46:M50)</f>
        <v>-777665</v>
      </c>
      <c r="N45" s="529"/>
      <c r="O45" s="377"/>
      <c r="P45" s="417"/>
      <c r="Q45" s="606"/>
      <c r="R45" s="466">
        <f>SUM(R46:R50)</f>
        <v>-4931986</v>
      </c>
      <c r="S45" s="529"/>
      <c r="T45" s="377"/>
      <c r="U45" s="417"/>
      <c r="V45" s="606"/>
      <c r="W45" s="466">
        <f>SUM(W46:W50)</f>
        <v>-8699700</v>
      </c>
      <c r="X45" s="529"/>
      <c r="Y45" s="377"/>
      <c r="Z45" s="417"/>
      <c r="AA45" s="606"/>
      <c r="AB45" s="466">
        <f>SUM(AB46:AB50)</f>
        <v>86911584</v>
      </c>
      <c r="AC45" s="529"/>
      <c r="AD45" s="377"/>
      <c r="AE45" s="417"/>
      <c r="AF45" s="606"/>
      <c r="AG45" s="466">
        <f>SUM(AG46:AG50)</f>
        <v>0</v>
      </c>
      <c r="AH45" s="529"/>
      <c r="AI45" s="377"/>
      <c r="AJ45" s="417"/>
      <c r="AK45" s="606"/>
      <c r="AL45" s="466">
        <f>SUM(AL46:AL50)</f>
        <v>0</v>
      </c>
      <c r="AM45" s="529"/>
      <c r="AN45" s="377"/>
      <c r="AO45" s="417"/>
      <c r="AP45" s="606"/>
      <c r="AQ45" s="466">
        <f>SUM(AQ46:AQ50)</f>
        <v>0</v>
      </c>
      <c r="AR45" s="529"/>
      <c r="AS45" s="377"/>
      <c r="AT45" s="417"/>
      <c r="AU45" s="606"/>
      <c r="AV45" s="466">
        <f>SUM(AV46:AV50)</f>
        <v>0</v>
      </c>
      <c r="AW45" s="529"/>
      <c r="AX45" s="377"/>
      <c r="AY45" s="417"/>
      <c r="AZ45" s="606"/>
      <c r="BA45" s="466">
        <f>SUM(BA46:BA50)</f>
        <v>0</v>
      </c>
      <c r="BB45" s="529"/>
      <c r="BC45" s="377"/>
      <c r="BD45" s="417"/>
      <c r="BE45" s="606"/>
      <c r="BF45" s="466">
        <f>SUM(BF46:BF50)</f>
        <v>0</v>
      </c>
      <c r="BG45" s="529"/>
      <c r="BH45" s="377"/>
      <c r="BI45" s="417"/>
      <c r="BJ45" s="606"/>
      <c r="BK45" s="466">
        <f>SUM(BK46:BK50)</f>
        <v>0</v>
      </c>
      <c r="BL45" s="529"/>
      <c r="BM45" s="377"/>
      <c r="BN45" s="417"/>
      <c r="BO45" s="606"/>
      <c r="BP45" s="466">
        <f>SUM(BP46:BP50)</f>
        <v>0</v>
      </c>
      <c r="BQ45" s="529"/>
      <c r="BR45" s="377"/>
      <c r="BS45" s="417"/>
      <c r="BT45" s="606"/>
      <c r="BU45" s="466">
        <f>SUM(BU46:BU50)</f>
        <v>72502233</v>
      </c>
      <c r="BV45" s="529"/>
      <c r="BW45" s="377"/>
      <c r="BX45" s="465"/>
      <c r="CA45" s="410"/>
      <c r="CB45" s="410" t="e">
        <f>#REF!-#REF!</f>
        <v>#REF!</v>
      </c>
    </row>
    <row r="46" spans="1:80" x14ac:dyDescent="0.2">
      <c r="A46" s="377"/>
      <c r="B46" s="377"/>
      <c r="C46" s="465" t="s">
        <v>336</v>
      </c>
      <c r="D46" s="377"/>
      <c r="E46" s="586"/>
      <c r="F46" s="482"/>
      <c r="G46" s="482"/>
      <c r="H46" s="593">
        <f>+[18]foreigndebt!G17</f>
        <v>125230000</v>
      </c>
      <c r="I46" s="531"/>
      <c r="J46" s="377"/>
      <c r="K46" s="417"/>
      <c r="L46" s="482"/>
      <c r="M46" s="593">
        <f>+[18]foreigndebt!L17</f>
        <v>0</v>
      </c>
      <c r="N46" s="531"/>
      <c r="O46" s="377"/>
      <c r="P46" s="417"/>
      <c r="Q46" s="482"/>
      <c r="R46" s="593">
        <f>+[18]foreigndebt!Q17</f>
        <v>0</v>
      </c>
      <c r="S46" s="531"/>
      <c r="T46" s="377"/>
      <c r="U46" s="417"/>
      <c r="V46" s="482"/>
      <c r="W46" s="593">
        <f>+[18]foreigndebt!V17</f>
        <v>0</v>
      </c>
      <c r="X46" s="531"/>
      <c r="Y46" s="377"/>
      <c r="Z46" s="417"/>
      <c r="AA46" s="482"/>
      <c r="AB46" s="593">
        <f>+[18]foreigndebt!AA17</f>
        <v>86911584</v>
      </c>
      <c r="AC46" s="531"/>
      <c r="AD46" s="377"/>
      <c r="AE46" s="417"/>
      <c r="AF46" s="482"/>
      <c r="AG46" s="593">
        <f>+[18]foreigndebt!AF17</f>
        <v>0</v>
      </c>
      <c r="AH46" s="531"/>
      <c r="AI46" s="377"/>
      <c r="AJ46" s="417"/>
      <c r="AK46" s="482"/>
      <c r="AL46" s="593">
        <f>+[18]foreigndebt!AK17</f>
        <v>0</v>
      </c>
      <c r="AM46" s="531"/>
      <c r="AN46" s="377"/>
      <c r="AO46" s="417"/>
      <c r="AP46" s="482"/>
      <c r="AQ46" s="593">
        <f>+[18]foreigndebt!AP17</f>
        <v>0</v>
      </c>
      <c r="AR46" s="531"/>
      <c r="AS46" s="377"/>
      <c r="AT46" s="417"/>
      <c r="AU46" s="482"/>
      <c r="AV46" s="593">
        <f>+[18]foreigndebt!AU17</f>
        <v>0</v>
      </c>
      <c r="AW46" s="531"/>
      <c r="AX46" s="377"/>
      <c r="AY46" s="417"/>
      <c r="AZ46" s="482"/>
      <c r="BA46" s="593">
        <f>+[18]foreigndebt!AZ17</f>
        <v>0</v>
      </c>
      <c r="BB46" s="531"/>
      <c r="BC46" s="377"/>
      <c r="BD46" s="417"/>
      <c r="BE46" s="482"/>
      <c r="BF46" s="593">
        <f>+[18]foreigndebt!BE17</f>
        <v>0</v>
      </c>
      <c r="BG46" s="531"/>
      <c r="BH46" s="377"/>
      <c r="BI46" s="417"/>
      <c r="BJ46" s="482"/>
      <c r="BK46" s="593">
        <f>+[18]foreigndebt!BJ17</f>
        <v>0</v>
      </c>
      <c r="BL46" s="531"/>
      <c r="BM46" s="377"/>
      <c r="BN46" s="417"/>
      <c r="BO46" s="482"/>
      <c r="BP46" s="593">
        <f>+[18]foreigndebt!BO17</f>
        <v>0</v>
      </c>
      <c r="BQ46" s="531"/>
      <c r="BR46" s="377"/>
      <c r="BS46" s="417"/>
      <c r="BT46" s="482"/>
      <c r="BU46" s="593">
        <f>+[18]foreigndebt!BT17</f>
        <v>86911584</v>
      </c>
      <c r="BV46" s="531"/>
      <c r="BW46" s="377"/>
      <c r="BX46" s="465"/>
      <c r="CA46" s="410"/>
      <c r="CB46" s="410" t="e">
        <f>#REF!-#REF!</f>
        <v>#REF!</v>
      </c>
    </row>
    <row r="47" spans="1:80" x14ac:dyDescent="0.2">
      <c r="A47" s="377"/>
      <c r="B47" s="377"/>
      <c r="C47" s="465" t="s">
        <v>338</v>
      </c>
      <c r="D47" s="377"/>
      <c r="E47" s="586"/>
      <c r="F47" s="482"/>
      <c r="G47" s="482"/>
      <c r="H47" s="418">
        <f>-[18]foreigndebt!G19</f>
        <v>0</v>
      </c>
      <c r="I47" s="531"/>
      <c r="J47" s="377"/>
      <c r="K47" s="417"/>
      <c r="L47" s="482"/>
      <c r="M47" s="418">
        <f>-[18]foreigndebt!L19</f>
        <v>0</v>
      </c>
      <c r="N47" s="531"/>
      <c r="O47" s="377"/>
      <c r="P47" s="417"/>
      <c r="Q47" s="482"/>
      <c r="R47" s="418">
        <f>-[18]foreigndebt!Q19</f>
        <v>0</v>
      </c>
      <c r="S47" s="531"/>
      <c r="T47" s="377"/>
      <c r="U47" s="417"/>
      <c r="V47" s="482"/>
      <c r="W47" s="418">
        <f>-[18]foreigndebt!V19</f>
        <v>0</v>
      </c>
      <c r="X47" s="531"/>
      <c r="Y47" s="377"/>
      <c r="Z47" s="417"/>
      <c r="AA47" s="482"/>
      <c r="AB47" s="418">
        <f>-[18]foreigndebt!AA19</f>
        <v>0</v>
      </c>
      <c r="AC47" s="531"/>
      <c r="AD47" s="377"/>
      <c r="AE47" s="417"/>
      <c r="AF47" s="482"/>
      <c r="AG47" s="418">
        <f>-[18]foreigndebt!AF19</f>
        <v>0</v>
      </c>
      <c r="AH47" s="531"/>
      <c r="AI47" s="377"/>
      <c r="AJ47" s="417"/>
      <c r="AK47" s="482"/>
      <c r="AL47" s="418">
        <f>-[18]foreigndebt!AK19</f>
        <v>0</v>
      </c>
      <c r="AM47" s="531"/>
      <c r="AN47" s="377"/>
      <c r="AO47" s="417"/>
      <c r="AP47" s="482"/>
      <c r="AQ47" s="418">
        <f>-[18]foreigndebt!AP19</f>
        <v>0</v>
      </c>
      <c r="AR47" s="531"/>
      <c r="AS47" s="377"/>
      <c r="AT47" s="417"/>
      <c r="AU47" s="482"/>
      <c r="AV47" s="418">
        <f>-[18]foreigndebt!AU19</f>
        <v>0</v>
      </c>
      <c r="AW47" s="531"/>
      <c r="AX47" s="377"/>
      <c r="AY47" s="417"/>
      <c r="AZ47" s="482"/>
      <c r="BA47" s="418">
        <f>-[18]foreigndebt!AZ19</f>
        <v>0</v>
      </c>
      <c r="BB47" s="531"/>
      <c r="BC47" s="377"/>
      <c r="BD47" s="417"/>
      <c r="BE47" s="482"/>
      <c r="BF47" s="418">
        <f>-[18]foreigndebt!BE19</f>
        <v>0</v>
      </c>
      <c r="BG47" s="531"/>
      <c r="BH47" s="377"/>
      <c r="BI47" s="417"/>
      <c r="BJ47" s="482"/>
      <c r="BK47" s="418">
        <f>-[18]foreigndebt!BJ19</f>
        <v>0</v>
      </c>
      <c r="BL47" s="531"/>
      <c r="BM47" s="377"/>
      <c r="BN47" s="417"/>
      <c r="BO47" s="482"/>
      <c r="BP47" s="418">
        <f>-[18]foreigndebt!BO19</f>
        <v>0</v>
      </c>
      <c r="BQ47" s="531"/>
      <c r="BR47" s="377"/>
      <c r="BS47" s="417"/>
      <c r="BT47" s="482"/>
      <c r="BU47" s="418">
        <f>-[18]foreigndebt!BT19</f>
        <v>0</v>
      </c>
      <c r="BV47" s="531"/>
      <c r="BW47" s="377"/>
      <c r="BX47" s="465"/>
      <c r="CA47" s="410"/>
      <c r="CB47" s="410" t="e">
        <f>#REF!-#REF!</f>
        <v>#REF!</v>
      </c>
    </row>
    <row r="48" spans="1:80" x14ac:dyDescent="0.2">
      <c r="A48" s="377"/>
      <c r="B48" s="377"/>
      <c r="C48" s="465" t="s">
        <v>339</v>
      </c>
      <c r="D48" s="377"/>
      <c r="E48" s="586"/>
      <c r="F48" s="482"/>
      <c r="G48" s="482"/>
      <c r="H48" s="418"/>
      <c r="I48" s="531"/>
      <c r="J48" s="377"/>
      <c r="K48" s="417"/>
      <c r="L48" s="482"/>
      <c r="M48" s="418"/>
      <c r="N48" s="531"/>
      <c r="O48" s="377"/>
      <c r="P48" s="417"/>
      <c r="Q48" s="482"/>
      <c r="R48" s="418"/>
      <c r="S48" s="531"/>
      <c r="T48" s="377"/>
      <c r="U48" s="417"/>
      <c r="V48" s="482"/>
      <c r="W48" s="418"/>
      <c r="X48" s="531"/>
      <c r="Y48" s="377"/>
      <c r="Z48" s="417"/>
      <c r="AA48" s="482"/>
      <c r="AB48" s="418"/>
      <c r="AC48" s="531"/>
      <c r="AD48" s="377"/>
      <c r="AE48" s="417"/>
      <c r="AF48" s="482"/>
      <c r="AG48" s="418"/>
      <c r="AH48" s="531"/>
      <c r="AI48" s="377"/>
      <c r="AJ48" s="417"/>
      <c r="AK48" s="482"/>
      <c r="AL48" s="418"/>
      <c r="AM48" s="531"/>
      <c r="AN48" s="377"/>
      <c r="AO48" s="417"/>
      <c r="AP48" s="482"/>
      <c r="AQ48" s="418"/>
      <c r="AR48" s="531"/>
      <c r="AS48" s="377"/>
      <c r="AT48" s="417"/>
      <c r="AU48" s="482"/>
      <c r="AV48" s="418"/>
      <c r="AW48" s="531"/>
      <c r="AX48" s="377"/>
      <c r="AY48" s="417"/>
      <c r="AZ48" s="482"/>
      <c r="BA48" s="418"/>
      <c r="BB48" s="531"/>
      <c r="BC48" s="377"/>
      <c r="BD48" s="417"/>
      <c r="BE48" s="482"/>
      <c r="BF48" s="418"/>
      <c r="BG48" s="531"/>
      <c r="BH48" s="377"/>
      <c r="BI48" s="417"/>
      <c r="BJ48" s="482"/>
      <c r="BK48" s="418"/>
      <c r="BL48" s="531"/>
      <c r="BM48" s="377"/>
      <c r="BN48" s="417"/>
      <c r="BO48" s="482"/>
      <c r="BP48" s="418"/>
      <c r="BQ48" s="531"/>
      <c r="BR48" s="377"/>
      <c r="BS48" s="417"/>
      <c r="BT48" s="482"/>
      <c r="BU48" s="418"/>
      <c r="BV48" s="531"/>
      <c r="BW48" s="377"/>
      <c r="BX48" s="465"/>
      <c r="CA48" s="410"/>
      <c r="CB48" s="410" t="e">
        <f>#REF!-#REF!</f>
        <v>#REF!</v>
      </c>
    </row>
    <row r="49" spans="1:80" x14ac:dyDescent="0.2">
      <c r="A49" s="377"/>
      <c r="B49" s="377"/>
      <c r="C49" s="258" t="s">
        <v>352</v>
      </c>
      <c r="D49" s="377"/>
      <c r="E49" s="586"/>
      <c r="F49" s="482"/>
      <c r="G49" s="482"/>
      <c r="H49" s="418">
        <f>-[18]foreigndebt!G109</f>
        <v>-7961000</v>
      </c>
      <c r="I49" s="531"/>
      <c r="J49" s="377"/>
      <c r="K49" s="417"/>
      <c r="L49" s="482"/>
      <c r="M49" s="418">
        <f>-[18]foreigndebt!L109</f>
        <v>-391647</v>
      </c>
      <c r="N49" s="531"/>
      <c r="O49" s="377"/>
      <c r="P49" s="417"/>
      <c r="Q49" s="482"/>
      <c r="R49" s="418">
        <f>-[18]foreigndebt!Q109</f>
        <v>-1962723</v>
      </c>
      <c r="S49" s="531"/>
      <c r="T49" s="377"/>
      <c r="U49" s="417"/>
      <c r="V49" s="482"/>
      <c r="W49" s="418">
        <f>-[18]foreigndebt!V109</f>
        <v>-5604275</v>
      </c>
      <c r="X49" s="531"/>
      <c r="Y49" s="377"/>
      <c r="Z49" s="417"/>
      <c r="AA49" s="482"/>
      <c r="AB49" s="418">
        <f>-[18]foreigndebt!AA109</f>
        <v>0</v>
      </c>
      <c r="AC49" s="531"/>
      <c r="AD49" s="377"/>
      <c r="AE49" s="417"/>
      <c r="AF49" s="482"/>
      <c r="AG49" s="418">
        <f>-[18]foreigndebt!AF109</f>
        <v>0</v>
      </c>
      <c r="AH49" s="531"/>
      <c r="AI49" s="377"/>
      <c r="AJ49" s="417"/>
      <c r="AK49" s="482"/>
      <c r="AL49" s="418">
        <f>-[18]foreigndebt!AK109</f>
        <v>0</v>
      </c>
      <c r="AM49" s="531"/>
      <c r="AN49" s="377"/>
      <c r="AO49" s="417"/>
      <c r="AP49" s="482"/>
      <c r="AQ49" s="418">
        <f>-[18]foreigndebt!AP109</f>
        <v>0</v>
      </c>
      <c r="AR49" s="531"/>
      <c r="AS49" s="377"/>
      <c r="AT49" s="417"/>
      <c r="AU49" s="482"/>
      <c r="AV49" s="418">
        <f>-[18]foreigndebt!AU109</f>
        <v>0</v>
      </c>
      <c r="AW49" s="531"/>
      <c r="AX49" s="377"/>
      <c r="AY49" s="417"/>
      <c r="AZ49" s="482"/>
      <c r="BA49" s="418">
        <f>-[18]foreigndebt!AZ109</f>
        <v>0</v>
      </c>
      <c r="BB49" s="531"/>
      <c r="BC49" s="377"/>
      <c r="BD49" s="417"/>
      <c r="BE49" s="482"/>
      <c r="BF49" s="418">
        <f>-[18]foreigndebt!BE109</f>
        <v>0</v>
      </c>
      <c r="BG49" s="531"/>
      <c r="BH49" s="377"/>
      <c r="BI49" s="417"/>
      <c r="BJ49" s="482"/>
      <c r="BK49" s="418">
        <f>-[18]foreigndebt!BJ109</f>
        <v>0</v>
      </c>
      <c r="BL49" s="531"/>
      <c r="BM49" s="377"/>
      <c r="BN49" s="417"/>
      <c r="BO49" s="482"/>
      <c r="BP49" s="418">
        <f>-[18]foreigndebt!BO109</f>
        <v>0</v>
      </c>
      <c r="BQ49" s="531"/>
      <c r="BR49" s="377"/>
      <c r="BS49" s="417"/>
      <c r="BT49" s="482"/>
      <c r="BU49" s="418">
        <f>-[18]foreigndebt!BT109</f>
        <v>-7958645</v>
      </c>
      <c r="BV49" s="531"/>
      <c r="BW49" s="377"/>
      <c r="BX49" s="465"/>
      <c r="CA49" s="410"/>
      <c r="CB49" s="410" t="e">
        <f>#REF!-#REF!</f>
        <v>#REF!</v>
      </c>
    </row>
    <row r="50" spans="1:80" x14ac:dyDescent="0.2">
      <c r="A50" s="377"/>
      <c r="B50" s="377"/>
      <c r="C50" s="258" t="s">
        <v>353</v>
      </c>
      <c r="D50" s="377"/>
      <c r="E50" s="586"/>
      <c r="F50" s="482"/>
      <c r="G50" s="482"/>
      <c r="H50" s="596">
        <f>-[18]foreigndebt!G110</f>
        <v>-6701000</v>
      </c>
      <c r="I50" s="531"/>
      <c r="J50" s="377"/>
      <c r="K50" s="417"/>
      <c r="L50" s="482"/>
      <c r="M50" s="596">
        <f>-[18]foreigndebt!L110</f>
        <v>-386018</v>
      </c>
      <c r="N50" s="531"/>
      <c r="O50" s="377"/>
      <c r="P50" s="417"/>
      <c r="Q50" s="482"/>
      <c r="R50" s="596">
        <f>-[18]foreigndebt!Q110</f>
        <v>-2969263</v>
      </c>
      <c r="S50" s="531"/>
      <c r="T50" s="377"/>
      <c r="U50" s="417"/>
      <c r="V50" s="482"/>
      <c r="W50" s="596">
        <f>-[18]foreigndebt!V110</f>
        <v>-3095425</v>
      </c>
      <c r="X50" s="531"/>
      <c r="Y50" s="377"/>
      <c r="Z50" s="417"/>
      <c r="AA50" s="482"/>
      <c r="AB50" s="596">
        <f>-[18]foreigndebt!AA110</f>
        <v>0</v>
      </c>
      <c r="AC50" s="531"/>
      <c r="AD50" s="377"/>
      <c r="AE50" s="417"/>
      <c r="AF50" s="482"/>
      <c r="AG50" s="596">
        <f>-[18]foreigndebt!AF110</f>
        <v>0</v>
      </c>
      <c r="AH50" s="531"/>
      <c r="AI50" s="377"/>
      <c r="AJ50" s="417"/>
      <c r="AK50" s="482"/>
      <c r="AL50" s="596">
        <f>-[18]foreigndebt!AK110</f>
        <v>0</v>
      </c>
      <c r="AM50" s="531"/>
      <c r="AN50" s="377"/>
      <c r="AO50" s="417"/>
      <c r="AP50" s="482"/>
      <c r="AQ50" s="596">
        <f>-[18]foreigndebt!AP110</f>
        <v>0</v>
      </c>
      <c r="AR50" s="531"/>
      <c r="AS50" s="377"/>
      <c r="AT50" s="417"/>
      <c r="AU50" s="482"/>
      <c r="AV50" s="596">
        <f>-[18]foreigndebt!AU110</f>
        <v>0</v>
      </c>
      <c r="AW50" s="531"/>
      <c r="AX50" s="377"/>
      <c r="AY50" s="417"/>
      <c r="AZ50" s="482"/>
      <c r="BA50" s="596">
        <f>-[18]foreigndebt!AZ110</f>
        <v>0</v>
      </c>
      <c r="BB50" s="531"/>
      <c r="BC50" s="377"/>
      <c r="BD50" s="417"/>
      <c r="BE50" s="482"/>
      <c r="BF50" s="596">
        <f>-[18]foreigndebt!BE110</f>
        <v>0</v>
      </c>
      <c r="BG50" s="531"/>
      <c r="BH50" s="377"/>
      <c r="BI50" s="417"/>
      <c r="BJ50" s="482"/>
      <c r="BK50" s="596">
        <f>-[18]foreigndebt!BJ110</f>
        <v>0</v>
      </c>
      <c r="BL50" s="531"/>
      <c r="BM50" s="377"/>
      <c r="BN50" s="417"/>
      <c r="BO50" s="482"/>
      <c r="BP50" s="596">
        <f>-[18]foreigndebt!BO110</f>
        <v>0</v>
      </c>
      <c r="BQ50" s="531"/>
      <c r="BR50" s="377"/>
      <c r="BS50" s="417"/>
      <c r="BT50" s="482"/>
      <c r="BU50" s="596">
        <f>-[18]foreigndebt!BT110</f>
        <v>-6450706</v>
      </c>
      <c r="BV50" s="531"/>
      <c r="BW50" s="377"/>
      <c r="BX50" s="465"/>
      <c r="CA50" s="410"/>
      <c r="CB50" s="410" t="e">
        <f>#REF!-#REF!</f>
        <v>#REF!</v>
      </c>
    </row>
    <row r="51" spans="1:80" ht="13.9" hidden="1" customHeight="1" x14ac:dyDescent="0.2">
      <c r="A51" s="377"/>
      <c r="B51" s="377"/>
      <c r="C51" s="465"/>
      <c r="D51" s="377"/>
      <c r="E51" s="586"/>
      <c r="F51" s="482"/>
      <c r="G51" s="482"/>
      <c r="H51" s="377"/>
      <c r="I51" s="531"/>
      <c r="J51" s="377"/>
      <c r="K51" s="417"/>
      <c r="L51" s="482"/>
      <c r="M51" s="377"/>
      <c r="N51" s="531"/>
      <c r="O51" s="377"/>
      <c r="P51" s="417"/>
      <c r="Q51" s="482"/>
      <c r="R51" s="377"/>
      <c r="S51" s="531"/>
      <c r="T51" s="377"/>
      <c r="U51" s="417"/>
      <c r="V51" s="482"/>
      <c r="W51" s="377"/>
      <c r="X51" s="531"/>
      <c r="Y51" s="377"/>
      <c r="Z51" s="417"/>
      <c r="AA51" s="482"/>
      <c r="AB51" s="377"/>
      <c r="AC51" s="531"/>
      <c r="AD51" s="377"/>
      <c r="AE51" s="417"/>
      <c r="AF51" s="482"/>
      <c r="AG51" s="377"/>
      <c r="AH51" s="531"/>
      <c r="AI51" s="377"/>
      <c r="AJ51" s="417"/>
      <c r="AK51" s="482"/>
      <c r="AL51" s="377"/>
      <c r="AM51" s="531"/>
      <c r="AN51" s="377"/>
      <c r="AO51" s="417"/>
      <c r="AP51" s="482"/>
      <c r="AQ51" s="377"/>
      <c r="AR51" s="531"/>
      <c r="AS51" s="377"/>
      <c r="AT51" s="417"/>
      <c r="AU51" s="482"/>
      <c r="AV51" s="377"/>
      <c r="AW51" s="531"/>
      <c r="AX51" s="377"/>
      <c r="AY51" s="417"/>
      <c r="AZ51" s="482"/>
      <c r="BA51" s="377"/>
      <c r="BB51" s="531"/>
      <c r="BC51" s="377"/>
      <c r="BD51" s="417"/>
      <c r="BE51" s="482"/>
      <c r="BF51" s="377"/>
      <c r="BG51" s="531"/>
      <c r="BH51" s="377"/>
      <c r="BI51" s="417"/>
      <c r="BJ51" s="482"/>
      <c r="BK51" s="377"/>
      <c r="BL51" s="531"/>
      <c r="BM51" s="377"/>
      <c r="BN51" s="417"/>
      <c r="BO51" s="482"/>
      <c r="BP51" s="377"/>
      <c r="BQ51" s="531"/>
      <c r="BR51" s="377"/>
      <c r="BS51" s="417"/>
      <c r="BT51" s="482"/>
      <c r="BU51" s="377"/>
      <c r="BV51" s="531"/>
      <c r="BW51" s="377"/>
      <c r="BX51" s="465"/>
      <c r="CA51" s="410"/>
      <c r="CB51" s="410" t="e">
        <f>#REF!-#REF!</f>
        <v>#REF!</v>
      </c>
    </row>
    <row r="52" spans="1:80" ht="13.9" hidden="1" customHeight="1" x14ac:dyDescent="0.2">
      <c r="A52" s="377"/>
      <c r="B52" s="377"/>
      <c r="C52" s="465" t="s">
        <v>342</v>
      </c>
      <c r="D52" s="377"/>
      <c r="E52" s="586"/>
      <c r="F52" s="482"/>
      <c r="G52" s="482"/>
      <c r="H52" s="377">
        <f>SUM(H53:H57)</f>
        <v>0</v>
      </c>
      <c r="I52" s="531"/>
      <c r="J52" s="377"/>
      <c r="K52" s="417"/>
      <c r="L52" s="482"/>
      <c r="M52" s="377">
        <f>SUM(M53:M57)</f>
        <v>0</v>
      </c>
      <c r="N52" s="531"/>
      <c r="O52" s="377"/>
      <c r="P52" s="417"/>
      <c r="Q52" s="482"/>
      <c r="R52" s="377">
        <f>SUM(R53:R57)</f>
        <v>0</v>
      </c>
      <c r="S52" s="531"/>
      <c r="T52" s="377"/>
      <c r="U52" s="417"/>
      <c r="V52" s="482"/>
      <c r="W52" s="377">
        <f>SUM(W53:W57)</f>
        <v>0</v>
      </c>
      <c r="X52" s="531"/>
      <c r="Y52" s="377"/>
      <c r="Z52" s="417"/>
      <c r="AA52" s="482"/>
      <c r="AB52" s="377">
        <f>SUM(AB53:AB57)</f>
        <v>0</v>
      </c>
      <c r="AC52" s="531"/>
      <c r="AD52" s="377"/>
      <c r="AE52" s="417"/>
      <c r="AF52" s="482"/>
      <c r="AG52" s="377">
        <f>SUM(AG53:AG57)</f>
        <v>0</v>
      </c>
      <c r="AH52" s="531"/>
      <c r="AI52" s="377"/>
      <c r="AJ52" s="417"/>
      <c r="AK52" s="482"/>
      <c r="AL52" s="377">
        <f>SUM(AL53:AL57)</f>
        <v>0</v>
      </c>
      <c r="AM52" s="531"/>
      <c r="AN52" s="377"/>
      <c r="AO52" s="417"/>
      <c r="AP52" s="482"/>
      <c r="AQ52" s="377">
        <f>SUM(AQ53:AQ57)</f>
        <v>0</v>
      </c>
      <c r="AR52" s="531"/>
      <c r="AS52" s="377"/>
      <c r="AT52" s="417"/>
      <c r="AU52" s="482"/>
      <c r="AV52" s="377">
        <f>SUM(AV53:AV57)</f>
        <v>0</v>
      </c>
      <c r="AW52" s="531"/>
      <c r="AX52" s="377"/>
      <c r="AY52" s="417"/>
      <c r="AZ52" s="482"/>
      <c r="BA52" s="377">
        <f>SUM(BA53:BA57)</f>
        <v>0</v>
      </c>
      <c r="BB52" s="531"/>
      <c r="BC52" s="377"/>
      <c r="BD52" s="417"/>
      <c r="BE52" s="482"/>
      <c r="BF52" s="377">
        <f>SUM(BF53:BF57)</f>
        <v>0</v>
      </c>
      <c r="BG52" s="531"/>
      <c r="BH52" s="377"/>
      <c r="BI52" s="417"/>
      <c r="BJ52" s="482"/>
      <c r="BK52" s="377">
        <f>SUM(BK53:BK57)</f>
        <v>0</v>
      </c>
      <c r="BL52" s="531"/>
      <c r="BM52" s="377"/>
      <c r="BN52" s="417"/>
      <c r="BO52" s="482"/>
      <c r="BP52" s="377">
        <f>SUM(BP53:BP57)</f>
        <v>0</v>
      </c>
      <c r="BQ52" s="531"/>
      <c r="BR52" s="377"/>
      <c r="BS52" s="417"/>
      <c r="BT52" s="482"/>
      <c r="BU52" s="377">
        <f>SUM(BU53:BU57)</f>
        <v>0</v>
      </c>
      <c r="BV52" s="531"/>
      <c r="BW52" s="377"/>
      <c r="BX52" s="465"/>
      <c r="CA52" s="410"/>
      <c r="CB52" s="410" t="e">
        <f>#REF!-#REF!</f>
        <v>#REF!</v>
      </c>
    </row>
    <row r="53" spans="1:80" ht="13.9" hidden="1" customHeight="1" x14ac:dyDescent="0.2">
      <c r="A53" s="377"/>
      <c r="B53" s="377"/>
      <c r="C53" s="465" t="s">
        <v>336</v>
      </c>
      <c r="D53" s="377"/>
      <c r="E53" s="586"/>
      <c r="F53" s="482"/>
      <c r="G53" s="482"/>
      <c r="H53" s="593">
        <f>[18]foreigndebt!G63</f>
        <v>0</v>
      </c>
      <c r="I53" s="531"/>
      <c r="J53" s="377"/>
      <c r="K53" s="417"/>
      <c r="L53" s="482"/>
      <c r="M53" s="593">
        <f>[18]foreigndebt!L63</f>
        <v>0</v>
      </c>
      <c r="N53" s="531"/>
      <c r="O53" s="377"/>
      <c r="P53" s="417"/>
      <c r="Q53" s="482"/>
      <c r="R53" s="593">
        <f>[18]foreigndebt!Q63</f>
        <v>0</v>
      </c>
      <c r="S53" s="531"/>
      <c r="T53" s="377"/>
      <c r="U53" s="417"/>
      <c r="V53" s="482"/>
      <c r="W53" s="593">
        <f>[18]foreigndebt!V63</f>
        <v>0</v>
      </c>
      <c r="X53" s="531"/>
      <c r="Y53" s="377"/>
      <c r="Z53" s="417"/>
      <c r="AA53" s="482"/>
      <c r="AB53" s="593">
        <f>[18]foreigndebt!AA63</f>
        <v>0</v>
      </c>
      <c r="AC53" s="531"/>
      <c r="AD53" s="377"/>
      <c r="AE53" s="417"/>
      <c r="AF53" s="482"/>
      <c r="AG53" s="593">
        <f>[18]foreigndebt!AF63</f>
        <v>0</v>
      </c>
      <c r="AH53" s="531"/>
      <c r="AI53" s="377"/>
      <c r="AJ53" s="417"/>
      <c r="AK53" s="482"/>
      <c r="AL53" s="593">
        <f>[18]foreigndebt!AK63</f>
        <v>0</v>
      </c>
      <c r="AM53" s="531"/>
      <c r="AN53" s="377"/>
      <c r="AO53" s="417"/>
      <c r="AP53" s="482"/>
      <c r="AQ53" s="593">
        <f>[18]foreigndebt!AP63</f>
        <v>0</v>
      </c>
      <c r="AR53" s="531"/>
      <c r="AS53" s="377"/>
      <c r="AT53" s="417"/>
      <c r="AU53" s="482"/>
      <c r="AV53" s="593">
        <f>[18]foreigndebt!AU63</f>
        <v>0</v>
      </c>
      <c r="AW53" s="531"/>
      <c r="AX53" s="377"/>
      <c r="AY53" s="417"/>
      <c r="AZ53" s="482"/>
      <c r="BA53" s="593">
        <f>[18]foreigndebt!AZ63</f>
        <v>0</v>
      </c>
      <c r="BB53" s="531"/>
      <c r="BC53" s="377"/>
      <c r="BD53" s="417"/>
      <c r="BE53" s="482"/>
      <c r="BF53" s="593">
        <f>[18]foreigndebt!BE63</f>
        <v>0</v>
      </c>
      <c r="BG53" s="531"/>
      <c r="BH53" s="377"/>
      <c r="BI53" s="417"/>
      <c r="BJ53" s="482"/>
      <c r="BK53" s="593">
        <f>[18]foreigndebt!BJ63</f>
        <v>0</v>
      </c>
      <c r="BL53" s="531"/>
      <c r="BM53" s="377"/>
      <c r="BN53" s="417"/>
      <c r="BO53" s="482"/>
      <c r="BP53" s="593">
        <f>[18]foreigndebt!BO63</f>
        <v>0</v>
      </c>
      <c r="BQ53" s="531"/>
      <c r="BR53" s="377"/>
      <c r="BS53" s="417"/>
      <c r="BT53" s="482"/>
      <c r="BU53" s="593">
        <f>[18]foreigndebt!BT63</f>
        <v>0</v>
      </c>
      <c r="BV53" s="531"/>
      <c r="BW53" s="377"/>
      <c r="BX53" s="465"/>
      <c r="CA53" s="410"/>
      <c r="CB53" s="410" t="e">
        <f>#REF!-#REF!</f>
        <v>#REF!</v>
      </c>
    </row>
    <row r="54" spans="1:80" ht="13.9" hidden="1" customHeight="1" x14ac:dyDescent="0.2">
      <c r="A54" s="377"/>
      <c r="B54" s="377"/>
      <c r="C54" s="465" t="s">
        <v>338</v>
      </c>
      <c r="D54" s="377"/>
      <c r="E54" s="586"/>
      <c r="F54" s="482"/>
      <c r="G54" s="482"/>
      <c r="H54" s="418">
        <f>-[18]foreigndebt!G65</f>
        <v>0</v>
      </c>
      <c r="I54" s="531"/>
      <c r="J54" s="377"/>
      <c r="K54" s="417"/>
      <c r="L54" s="482"/>
      <c r="M54" s="418">
        <f>-[18]foreigndebt!L65</f>
        <v>0</v>
      </c>
      <c r="N54" s="531"/>
      <c r="O54" s="377"/>
      <c r="P54" s="417"/>
      <c r="Q54" s="482"/>
      <c r="R54" s="418">
        <f>-[18]foreigndebt!Q65</f>
        <v>0</v>
      </c>
      <c r="S54" s="531"/>
      <c r="T54" s="377"/>
      <c r="U54" s="417"/>
      <c r="V54" s="482"/>
      <c r="W54" s="418">
        <f>-[18]foreigndebt!V65</f>
        <v>0</v>
      </c>
      <c r="X54" s="531"/>
      <c r="Y54" s="377"/>
      <c r="Z54" s="417"/>
      <c r="AA54" s="482"/>
      <c r="AB54" s="418">
        <f>-[18]foreigndebt!AA65</f>
        <v>0</v>
      </c>
      <c r="AC54" s="531"/>
      <c r="AD54" s="377"/>
      <c r="AE54" s="417"/>
      <c r="AF54" s="482"/>
      <c r="AG54" s="418">
        <f>-[18]foreigndebt!AF65</f>
        <v>0</v>
      </c>
      <c r="AH54" s="531"/>
      <c r="AI54" s="377"/>
      <c r="AJ54" s="417"/>
      <c r="AK54" s="482"/>
      <c r="AL54" s="418">
        <f>-[18]foreigndebt!AK65</f>
        <v>0</v>
      </c>
      <c r="AM54" s="531"/>
      <c r="AN54" s="377"/>
      <c r="AO54" s="417"/>
      <c r="AP54" s="482"/>
      <c r="AQ54" s="418">
        <f>-[18]foreigndebt!AP65</f>
        <v>0</v>
      </c>
      <c r="AR54" s="531"/>
      <c r="AS54" s="377"/>
      <c r="AT54" s="417"/>
      <c r="AU54" s="482"/>
      <c r="AV54" s="418">
        <f>-[18]foreigndebt!AU65</f>
        <v>0</v>
      </c>
      <c r="AW54" s="531"/>
      <c r="AX54" s="377"/>
      <c r="AY54" s="417"/>
      <c r="AZ54" s="482"/>
      <c r="BA54" s="418">
        <f>-[18]foreigndebt!AZ65</f>
        <v>0</v>
      </c>
      <c r="BB54" s="531"/>
      <c r="BC54" s="377"/>
      <c r="BD54" s="417"/>
      <c r="BE54" s="482"/>
      <c r="BF54" s="418">
        <f>-[18]foreigndebt!BE65</f>
        <v>0</v>
      </c>
      <c r="BG54" s="531"/>
      <c r="BH54" s="377"/>
      <c r="BI54" s="417"/>
      <c r="BJ54" s="482"/>
      <c r="BK54" s="418">
        <f>-[18]foreigndebt!BJ65</f>
        <v>0</v>
      </c>
      <c r="BL54" s="531"/>
      <c r="BM54" s="377"/>
      <c r="BN54" s="417"/>
      <c r="BO54" s="482"/>
      <c r="BP54" s="418">
        <f>-[18]foreigndebt!BO65</f>
        <v>0</v>
      </c>
      <c r="BQ54" s="531"/>
      <c r="BR54" s="377"/>
      <c r="BS54" s="417"/>
      <c r="BT54" s="482"/>
      <c r="BU54" s="418">
        <f>-[18]foreigndebt!BT65</f>
        <v>0</v>
      </c>
      <c r="BV54" s="531"/>
      <c r="BW54" s="377"/>
      <c r="BX54" s="465"/>
      <c r="CA54" s="410"/>
      <c r="CB54" s="410" t="e">
        <f>#REF!-#REF!</f>
        <v>#REF!</v>
      </c>
    </row>
    <row r="55" spans="1:80" ht="13.9" hidden="1" customHeight="1" x14ac:dyDescent="0.2">
      <c r="A55" s="377"/>
      <c r="B55" s="377"/>
      <c r="C55" s="465" t="s">
        <v>354</v>
      </c>
      <c r="D55" s="377"/>
      <c r="E55" s="586"/>
      <c r="F55" s="482"/>
      <c r="G55" s="482"/>
      <c r="H55" s="418"/>
      <c r="I55" s="531"/>
      <c r="J55" s="377"/>
      <c r="K55" s="417"/>
      <c r="L55" s="482"/>
      <c r="M55" s="418"/>
      <c r="N55" s="531"/>
      <c r="O55" s="377"/>
      <c r="P55" s="417"/>
      <c r="Q55" s="482"/>
      <c r="R55" s="418"/>
      <c r="S55" s="531"/>
      <c r="T55" s="377"/>
      <c r="U55" s="417"/>
      <c r="V55" s="482"/>
      <c r="W55" s="418"/>
      <c r="X55" s="531"/>
      <c r="Y55" s="377"/>
      <c r="Z55" s="417"/>
      <c r="AA55" s="482"/>
      <c r="AB55" s="418"/>
      <c r="AC55" s="531"/>
      <c r="AD55" s="377"/>
      <c r="AE55" s="417"/>
      <c r="AF55" s="482"/>
      <c r="AG55" s="418"/>
      <c r="AH55" s="531"/>
      <c r="AI55" s="377"/>
      <c r="AJ55" s="417"/>
      <c r="AK55" s="482"/>
      <c r="AL55" s="418"/>
      <c r="AM55" s="531"/>
      <c r="AN55" s="377"/>
      <c r="AO55" s="417"/>
      <c r="AP55" s="482"/>
      <c r="AQ55" s="418"/>
      <c r="AR55" s="531"/>
      <c r="AS55" s="377"/>
      <c r="AT55" s="417"/>
      <c r="AU55" s="482"/>
      <c r="AV55" s="418"/>
      <c r="AW55" s="531"/>
      <c r="AX55" s="377"/>
      <c r="AY55" s="417"/>
      <c r="AZ55" s="482"/>
      <c r="BA55" s="418"/>
      <c r="BB55" s="531"/>
      <c r="BC55" s="377"/>
      <c r="BD55" s="417"/>
      <c r="BE55" s="482"/>
      <c r="BF55" s="418"/>
      <c r="BG55" s="531"/>
      <c r="BH55" s="377"/>
      <c r="BI55" s="417"/>
      <c r="BJ55" s="482"/>
      <c r="BK55" s="418"/>
      <c r="BL55" s="531"/>
      <c r="BM55" s="377"/>
      <c r="BN55" s="417"/>
      <c r="BO55" s="482"/>
      <c r="BP55" s="418"/>
      <c r="BQ55" s="531"/>
      <c r="BR55" s="377"/>
      <c r="BS55" s="417"/>
      <c r="BT55" s="482"/>
      <c r="BU55" s="418"/>
      <c r="BV55" s="531"/>
      <c r="BW55" s="377"/>
      <c r="BX55" s="465"/>
      <c r="CA55" s="410"/>
      <c r="CB55" s="410" t="e">
        <f>#REF!-#REF!</f>
        <v>#REF!</v>
      </c>
    </row>
    <row r="56" spans="1:80" ht="13.9" hidden="1" customHeight="1" x14ac:dyDescent="0.2">
      <c r="A56" s="377"/>
      <c r="B56" s="377"/>
      <c r="C56" s="258" t="s">
        <v>355</v>
      </c>
      <c r="D56" s="377"/>
      <c r="E56" s="586"/>
      <c r="F56" s="482"/>
      <c r="G56" s="482"/>
      <c r="H56" s="418">
        <f>-[18]foreigndebt!G157</f>
        <v>0</v>
      </c>
      <c r="I56" s="531"/>
      <c r="J56" s="377"/>
      <c r="K56" s="417"/>
      <c r="L56" s="482"/>
      <c r="M56" s="418">
        <f>-[18]foreigndebt!L157</f>
        <v>0</v>
      </c>
      <c r="N56" s="531"/>
      <c r="O56" s="377"/>
      <c r="P56" s="417"/>
      <c r="Q56" s="482"/>
      <c r="R56" s="418">
        <f>-[18]foreigndebt!Q157</f>
        <v>0</v>
      </c>
      <c r="S56" s="531"/>
      <c r="T56" s="377"/>
      <c r="U56" s="417"/>
      <c r="V56" s="482"/>
      <c r="W56" s="418">
        <f>-[18]foreigndebt!V157</f>
        <v>0</v>
      </c>
      <c r="X56" s="531"/>
      <c r="Y56" s="377"/>
      <c r="Z56" s="417"/>
      <c r="AA56" s="482"/>
      <c r="AB56" s="418">
        <f>-[18]foreigndebt!AA157</f>
        <v>0</v>
      </c>
      <c r="AC56" s="531"/>
      <c r="AD56" s="377"/>
      <c r="AE56" s="417"/>
      <c r="AF56" s="482"/>
      <c r="AG56" s="418">
        <f>-[18]foreigndebt!AF157</f>
        <v>0</v>
      </c>
      <c r="AH56" s="531"/>
      <c r="AI56" s="377"/>
      <c r="AJ56" s="417"/>
      <c r="AK56" s="482"/>
      <c r="AL56" s="418">
        <f>-[18]foreigndebt!AK157</f>
        <v>0</v>
      </c>
      <c r="AM56" s="531"/>
      <c r="AN56" s="377"/>
      <c r="AO56" s="417"/>
      <c r="AP56" s="482"/>
      <c r="AQ56" s="418">
        <f>-[18]foreigndebt!AP157</f>
        <v>0</v>
      </c>
      <c r="AR56" s="531"/>
      <c r="AS56" s="377"/>
      <c r="AT56" s="417"/>
      <c r="AU56" s="482"/>
      <c r="AV56" s="418">
        <f>-[18]foreigndebt!AU157</f>
        <v>0</v>
      </c>
      <c r="AW56" s="531"/>
      <c r="AX56" s="377"/>
      <c r="AY56" s="417"/>
      <c r="AZ56" s="482"/>
      <c r="BA56" s="418">
        <f>-[18]foreigndebt!AZ157</f>
        <v>0</v>
      </c>
      <c r="BB56" s="531"/>
      <c r="BC56" s="377"/>
      <c r="BD56" s="417"/>
      <c r="BE56" s="482"/>
      <c r="BF56" s="418">
        <f>-[18]foreigndebt!BE157</f>
        <v>0</v>
      </c>
      <c r="BG56" s="531"/>
      <c r="BH56" s="377"/>
      <c r="BI56" s="417"/>
      <c r="BJ56" s="482"/>
      <c r="BK56" s="418">
        <f>-[18]foreigndebt!BJ157</f>
        <v>0</v>
      </c>
      <c r="BL56" s="531"/>
      <c r="BM56" s="377"/>
      <c r="BN56" s="417"/>
      <c r="BO56" s="482"/>
      <c r="BP56" s="418">
        <f>-[18]foreigndebt!BO157</f>
        <v>0</v>
      </c>
      <c r="BQ56" s="531"/>
      <c r="BR56" s="377"/>
      <c r="BS56" s="417"/>
      <c r="BT56" s="482"/>
      <c r="BU56" s="418">
        <f>-[18]foreigndebt!BT157</f>
        <v>0</v>
      </c>
      <c r="BV56" s="531"/>
      <c r="BW56" s="377"/>
      <c r="BX56" s="465"/>
      <c r="CA56" s="410"/>
      <c r="CB56" s="410" t="e">
        <f>#REF!-#REF!</f>
        <v>#REF!</v>
      </c>
    </row>
    <row r="57" spans="1:80" ht="13.9" hidden="1" customHeight="1" x14ac:dyDescent="0.2">
      <c r="A57" s="377"/>
      <c r="B57" s="377"/>
      <c r="C57" s="258" t="s">
        <v>356</v>
      </c>
      <c r="D57" s="377"/>
      <c r="E57" s="586"/>
      <c r="F57" s="482"/>
      <c r="G57" s="482"/>
      <c r="H57" s="596">
        <f>-[18]foreigndebt!G158</f>
        <v>0</v>
      </c>
      <c r="I57" s="531"/>
      <c r="J57" s="377"/>
      <c r="K57" s="417"/>
      <c r="L57" s="482"/>
      <c r="M57" s="596">
        <f>-[18]foreigndebt!L158</f>
        <v>0</v>
      </c>
      <c r="N57" s="531"/>
      <c r="O57" s="377"/>
      <c r="P57" s="417"/>
      <c r="Q57" s="482"/>
      <c r="R57" s="596">
        <f>-[18]foreigndebt!Q158</f>
        <v>0</v>
      </c>
      <c r="S57" s="531"/>
      <c r="T57" s="377"/>
      <c r="U57" s="417"/>
      <c r="V57" s="482"/>
      <c r="W57" s="596">
        <f>-[18]foreigndebt!V158</f>
        <v>0</v>
      </c>
      <c r="X57" s="531"/>
      <c r="Y57" s="377"/>
      <c r="Z57" s="417"/>
      <c r="AA57" s="482"/>
      <c r="AB57" s="596">
        <f>-[18]foreigndebt!AA158</f>
        <v>0</v>
      </c>
      <c r="AC57" s="531"/>
      <c r="AD57" s="377"/>
      <c r="AE57" s="417"/>
      <c r="AF57" s="482"/>
      <c r="AG57" s="596">
        <f>-[18]foreigndebt!AF158</f>
        <v>0</v>
      </c>
      <c r="AH57" s="531"/>
      <c r="AI57" s="377"/>
      <c r="AJ57" s="417"/>
      <c r="AK57" s="482"/>
      <c r="AL57" s="596">
        <f>-[18]foreigndebt!AK158</f>
        <v>0</v>
      </c>
      <c r="AM57" s="531"/>
      <c r="AN57" s="377"/>
      <c r="AO57" s="417"/>
      <c r="AP57" s="482"/>
      <c r="AQ57" s="596">
        <f>-[18]foreigndebt!AP158</f>
        <v>0</v>
      </c>
      <c r="AR57" s="531"/>
      <c r="AS57" s="377"/>
      <c r="AT57" s="417"/>
      <c r="AU57" s="482"/>
      <c r="AV57" s="596">
        <f>-[18]foreigndebt!AU158</f>
        <v>0</v>
      </c>
      <c r="AW57" s="531"/>
      <c r="AX57" s="377"/>
      <c r="AY57" s="417"/>
      <c r="AZ57" s="482"/>
      <c r="BA57" s="596">
        <f>-[18]foreigndebt!AZ158</f>
        <v>0</v>
      </c>
      <c r="BB57" s="531"/>
      <c r="BC57" s="377"/>
      <c r="BD57" s="417"/>
      <c r="BE57" s="482"/>
      <c r="BF57" s="596">
        <f>-[18]foreigndebt!BE158</f>
        <v>0</v>
      </c>
      <c r="BG57" s="531"/>
      <c r="BH57" s="377"/>
      <c r="BI57" s="417"/>
      <c r="BJ57" s="482"/>
      <c r="BK57" s="596">
        <f>-[18]foreigndebt!BJ158</f>
        <v>0</v>
      </c>
      <c r="BL57" s="531"/>
      <c r="BM57" s="377"/>
      <c r="BN57" s="417"/>
      <c r="BO57" s="482"/>
      <c r="BP57" s="596">
        <f>-[18]foreigndebt!BO158</f>
        <v>0</v>
      </c>
      <c r="BQ57" s="531"/>
      <c r="BR57" s="377"/>
      <c r="BS57" s="417"/>
      <c r="BT57" s="482"/>
      <c r="BU57" s="596">
        <f>-[18]foreigndebt!BT158</f>
        <v>0</v>
      </c>
      <c r="BV57" s="531"/>
      <c r="BW57" s="377"/>
      <c r="BX57" s="465"/>
      <c r="CA57" s="410"/>
      <c r="CB57" s="410" t="e">
        <f>#REF!-#REF!</f>
        <v>#REF!</v>
      </c>
    </row>
    <row r="58" spans="1:80" ht="13.9" hidden="1" customHeight="1" x14ac:dyDescent="0.2">
      <c r="A58" s="377"/>
      <c r="B58" s="377"/>
      <c r="C58" s="465"/>
      <c r="D58" s="377"/>
      <c r="E58" s="586"/>
      <c r="F58" s="482"/>
      <c r="G58" s="482"/>
      <c r="H58" s="377"/>
      <c r="I58" s="531"/>
      <c r="J58" s="377"/>
      <c r="K58" s="417"/>
      <c r="L58" s="482"/>
      <c r="M58" s="377"/>
      <c r="N58" s="531"/>
      <c r="O58" s="377"/>
      <c r="P58" s="417"/>
      <c r="Q58" s="482"/>
      <c r="R58" s="377"/>
      <c r="S58" s="531"/>
      <c r="T58" s="377"/>
      <c r="U58" s="417"/>
      <c r="V58" s="482"/>
      <c r="W58" s="377"/>
      <c r="X58" s="531"/>
      <c r="Y58" s="377"/>
      <c r="Z58" s="417"/>
      <c r="AA58" s="482"/>
      <c r="AB58" s="377"/>
      <c r="AC58" s="531"/>
      <c r="AD58" s="377"/>
      <c r="AE58" s="417"/>
      <c r="AF58" s="482"/>
      <c r="AG58" s="377"/>
      <c r="AH58" s="531"/>
      <c r="AI58" s="377"/>
      <c r="AJ58" s="417"/>
      <c r="AK58" s="482"/>
      <c r="AL58" s="377"/>
      <c r="AM58" s="531"/>
      <c r="AN58" s="377"/>
      <c r="AO58" s="417"/>
      <c r="AP58" s="482"/>
      <c r="AQ58" s="377"/>
      <c r="AR58" s="531"/>
      <c r="AS58" s="377"/>
      <c r="AT58" s="417"/>
      <c r="AU58" s="482"/>
      <c r="AV58" s="377"/>
      <c r="AW58" s="531"/>
      <c r="AX58" s="377"/>
      <c r="AY58" s="417"/>
      <c r="AZ58" s="482"/>
      <c r="BA58" s="377"/>
      <c r="BB58" s="531"/>
      <c r="BC58" s="377"/>
      <c r="BD58" s="417"/>
      <c r="BE58" s="482"/>
      <c r="BF58" s="377"/>
      <c r="BG58" s="531"/>
      <c r="BH58" s="377"/>
      <c r="BI58" s="417"/>
      <c r="BJ58" s="482"/>
      <c r="BK58" s="377"/>
      <c r="BL58" s="531"/>
      <c r="BM58" s="377"/>
      <c r="BN58" s="417"/>
      <c r="BO58" s="482"/>
      <c r="BP58" s="377"/>
      <c r="BQ58" s="531"/>
      <c r="BR58" s="377"/>
      <c r="BS58" s="417"/>
      <c r="BT58" s="482"/>
      <c r="BU58" s="377"/>
      <c r="BV58" s="531"/>
      <c r="BW58" s="377"/>
      <c r="BX58" s="465"/>
      <c r="CA58" s="410"/>
      <c r="CB58" s="410" t="e">
        <f>#REF!-#REF!</f>
        <v>#REF!</v>
      </c>
    </row>
    <row r="59" spans="1:80" ht="12.75" hidden="1" customHeight="1" x14ac:dyDescent="0.2">
      <c r="A59" s="377"/>
      <c r="B59" s="377"/>
      <c r="C59" s="465" t="s">
        <v>357</v>
      </c>
      <c r="D59" s="377"/>
      <c r="E59" s="586"/>
      <c r="F59" s="482"/>
      <c r="G59" s="482"/>
      <c r="H59" s="377">
        <v>0</v>
      </c>
      <c r="I59" s="531"/>
      <c r="J59" s="377"/>
      <c r="K59" s="417"/>
      <c r="L59" s="482"/>
      <c r="M59" s="377">
        <f>SUM(M60:M64)</f>
        <v>0</v>
      </c>
      <c r="N59" s="531"/>
      <c r="O59" s="377"/>
      <c r="P59" s="417"/>
      <c r="Q59" s="482"/>
      <c r="R59" s="377">
        <f>SUM(R60:R64)</f>
        <v>0</v>
      </c>
      <c r="S59" s="531"/>
      <c r="T59" s="377"/>
      <c r="U59" s="417"/>
      <c r="V59" s="482"/>
      <c r="W59" s="377">
        <f>SUM(W60:W64)</f>
        <v>0</v>
      </c>
      <c r="X59" s="531"/>
      <c r="Y59" s="377"/>
      <c r="Z59" s="417"/>
      <c r="AA59" s="482"/>
      <c r="AB59" s="377">
        <f>SUM(AB60:AB64)</f>
        <v>0</v>
      </c>
      <c r="AC59" s="531"/>
      <c r="AD59" s="377"/>
      <c r="AE59" s="417"/>
      <c r="AF59" s="482"/>
      <c r="AG59" s="377">
        <f>SUM(AG60:AG64)</f>
        <v>0</v>
      </c>
      <c r="AH59" s="531"/>
      <c r="AI59" s="377"/>
      <c r="AJ59" s="417"/>
      <c r="AK59" s="482"/>
      <c r="AL59" s="377">
        <f>SUM(AL60:AL64)</f>
        <v>0</v>
      </c>
      <c r="AM59" s="531"/>
      <c r="AN59" s="377"/>
      <c r="AO59" s="417"/>
      <c r="AP59" s="482"/>
      <c r="AQ59" s="377">
        <f>SUM(AQ60:AQ64)</f>
        <v>0</v>
      </c>
      <c r="AR59" s="531"/>
      <c r="AS59" s="377"/>
      <c r="AT59" s="417"/>
      <c r="AU59" s="482"/>
      <c r="AV59" s="377">
        <f>SUM(AV60:AV64)</f>
        <v>0</v>
      </c>
      <c r="AW59" s="531"/>
      <c r="AX59" s="377"/>
      <c r="AY59" s="417"/>
      <c r="AZ59" s="482"/>
      <c r="BA59" s="377">
        <f>SUM(BA60:BA64)</f>
        <v>0</v>
      </c>
      <c r="BB59" s="531"/>
      <c r="BC59" s="377"/>
      <c r="BD59" s="417"/>
      <c r="BE59" s="482"/>
      <c r="BF59" s="377">
        <f>SUM(BF60:BF64)</f>
        <v>0</v>
      </c>
      <c r="BG59" s="531"/>
      <c r="BH59" s="377"/>
      <c r="BI59" s="417"/>
      <c r="BJ59" s="482"/>
      <c r="BK59" s="377">
        <f>SUM(BK60:BK64)</f>
        <v>0</v>
      </c>
      <c r="BL59" s="531"/>
      <c r="BM59" s="377"/>
      <c r="BN59" s="417"/>
      <c r="BO59" s="482"/>
      <c r="BP59" s="377">
        <f>SUM(BP60:BP64)</f>
        <v>0</v>
      </c>
      <c r="BQ59" s="531"/>
      <c r="BR59" s="377"/>
      <c r="BS59" s="417"/>
      <c r="BT59" s="482"/>
      <c r="BU59" s="377">
        <f>SUM(BU60:BU64)</f>
        <v>0</v>
      </c>
      <c r="BV59" s="531"/>
      <c r="BW59" s="377"/>
      <c r="BX59" s="465"/>
      <c r="CA59" s="410"/>
      <c r="CB59" s="410" t="e">
        <f>#REF!-#REF!</f>
        <v>#REF!</v>
      </c>
    </row>
    <row r="60" spans="1:80" ht="13.9" hidden="1" customHeight="1" x14ac:dyDescent="0.2">
      <c r="A60" s="377"/>
      <c r="B60" s="377"/>
      <c r="C60" s="465" t="s">
        <v>336</v>
      </c>
      <c r="D60" s="377"/>
      <c r="E60" s="586"/>
      <c r="F60" s="482"/>
      <c r="G60" s="482"/>
      <c r="H60" s="593">
        <v>0</v>
      </c>
      <c r="I60" s="531"/>
      <c r="J60" s="377"/>
      <c r="K60" s="417"/>
      <c r="L60" s="482"/>
      <c r="M60" s="593">
        <f>[18]foreigndebt!L73</f>
        <v>0</v>
      </c>
      <c r="N60" s="531"/>
      <c r="O60" s="377"/>
      <c r="P60" s="417"/>
      <c r="Q60" s="482"/>
      <c r="R60" s="593">
        <f>[18]foreigndebt!Q73</f>
        <v>0</v>
      </c>
      <c r="S60" s="531"/>
      <c r="T60" s="377"/>
      <c r="U60" s="417"/>
      <c r="V60" s="482"/>
      <c r="W60" s="593">
        <f>[18]foreigndebt!V73</f>
        <v>0</v>
      </c>
      <c r="X60" s="531"/>
      <c r="Y60" s="377"/>
      <c r="Z60" s="417"/>
      <c r="AA60" s="482"/>
      <c r="AB60" s="593">
        <f>[18]foreigndebt!AA73</f>
        <v>0</v>
      </c>
      <c r="AC60" s="531"/>
      <c r="AD60" s="377"/>
      <c r="AE60" s="417"/>
      <c r="AF60" s="482"/>
      <c r="AG60" s="593">
        <f>[18]foreigndebt!AF73</f>
        <v>0</v>
      </c>
      <c r="AH60" s="531"/>
      <c r="AI60" s="377"/>
      <c r="AJ60" s="417"/>
      <c r="AK60" s="482"/>
      <c r="AL60" s="593">
        <f>[18]foreigndebt!AK73</f>
        <v>0</v>
      </c>
      <c r="AM60" s="531"/>
      <c r="AN60" s="377"/>
      <c r="AO60" s="417"/>
      <c r="AP60" s="482"/>
      <c r="AQ60" s="593">
        <f>[18]foreigndebt!AP73</f>
        <v>0</v>
      </c>
      <c r="AR60" s="531"/>
      <c r="AS60" s="377"/>
      <c r="AT60" s="417"/>
      <c r="AU60" s="482"/>
      <c r="AV60" s="593">
        <f>[18]foreigndebt!AU73</f>
        <v>0</v>
      </c>
      <c r="AW60" s="531"/>
      <c r="AX60" s="377"/>
      <c r="AY60" s="417"/>
      <c r="AZ60" s="482"/>
      <c r="BA60" s="593">
        <f>[18]foreigndebt!AZ73</f>
        <v>0</v>
      </c>
      <c r="BB60" s="531"/>
      <c r="BC60" s="377"/>
      <c r="BD60" s="417"/>
      <c r="BE60" s="482"/>
      <c r="BF60" s="593">
        <f>[18]foreigndebt!BE73</f>
        <v>0</v>
      </c>
      <c r="BG60" s="531"/>
      <c r="BH60" s="377"/>
      <c r="BI60" s="417"/>
      <c r="BJ60" s="482"/>
      <c r="BK60" s="593">
        <f>[18]foreigndebt!BJ73</f>
        <v>0</v>
      </c>
      <c r="BL60" s="531"/>
      <c r="BM60" s="377"/>
      <c r="BN60" s="417"/>
      <c r="BO60" s="482"/>
      <c r="BP60" s="593">
        <f>[18]foreigndebt!BO73</f>
        <v>0</v>
      </c>
      <c r="BQ60" s="531"/>
      <c r="BR60" s="377"/>
      <c r="BS60" s="417"/>
      <c r="BT60" s="482"/>
      <c r="BU60" s="593">
        <f>[18]foreigndebt!BT73</f>
        <v>0</v>
      </c>
      <c r="BV60" s="531"/>
      <c r="BW60" s="377"/>
      <c r="BX60" s="465"/>
      <c r="CA60" s="410"/>
      <c r="CB60" s="410" t="e">
        <f>#REF!-#REF!</f>
        <v>#REF!</v>
      </c>
    </row>
    <row r="61" spans="1:80" ht="13.9" hidden="1" customHeight="1" x14ac:dyDescent="0.2">
      <c r="A61" s="377"/>
      <c r="B61" s="377"/>
      <c r="C61" s="465" t="s">
        <v>338</v>
      </c>
      <c r="D61" s="377"/>
      <c r="E61" s="586"/>
      <c r="F61" s="482"/>
      <c r="G61" s="482"/>
      <c r="H61" s="418">
        <v>0</v>
      </c>
      <c r="I61" s="531"/>
      <c r="J61" s="377"/>
      <c r="K61" s="417"/>
      <c r="L61" s="482"/>
      <c r="M61" s="418">
        <f>-[18]foreigndebt!L75</f>
        <v>0</v>
      </c>
      <c r="N61" s="531"/>
      <c r="O61" s="377"/>
      <c r="P61" s="417"/>
      <c r="Q61" s="482"/>
      <c r="R61" s="418">
        <f>-[18]foreigndebt!Q75</f>
        <v>0</v>
      </c>
      <c r="S61" s="531"/>
      <c r="T61" s="377"/>
      <c r="U61" s="417"/>
      <c r="V61" s="482"/>
      <c r="W61" s="418">
        <f>-[18]foreigndebt!V75</f>
        <v>0</v>
      </c>
      <c r="X61" s="531"/>
      <c r="Y61" s="377"/>
      <c r="Z61" s="417"/>
      <c r="AA61" s="482"/>
      <c r="AB61" s="418">
        <f>-[18]foreigndebt!AA75</f>
        <v>0</v>
      </c>
      <c r="AC61" s="531"/>
      <c r="AD61" s="377"/>
      <c r="AE61" s="417"/>
      <c r="AF61" s="482"/>
      <c r="AG61" s="418">
        <f>-[18]foreigndebt!AF75</f>
        <v>0</v>
      </c>
      <c r="AH61" s="531"/>
      <c r="AI61" s="377"/>
      <c r="AJ61" s="417"/>
      <c r="AK61" s="482"/>
      <c r="AL61" s="418">
        <f>-[18]foreigndebt!AK75</f>
        <v>0</v>
      </c>
      <c r="AM61" s="531"/>
      <c r="AN61" s="377"/>
      <c r="AO61" s="417"/>
      <c r="AP61" s="482"/>
      <c r="AQ61" s="418">
        <f>-[18]foreigndebt!AP75</f>
        <v>0</v>
      </c>
      <c r="AR61" s="531"/>
      <c r="AS61" s="377"/>
      <c r="AT61" s="417"/>
      <c r="AU61" s="482"/>
      <c r="AV61" s="418">
        <f>-[18]foreigndebt!AU75</f>
        <v>0</v>
      </c>
      <c r="AW61" s="531"/>
      <c r="AX61" s="377"/>
      <c r="AY61" s="417"/>
      <c r="AZ61" s="482"/>
      <c r="BA61" s="418">
        <f>-[18]foreigndebt!AZ75</f>
        <v>0</v>
      </c>
      <c r="BB61" s="531"/>
      <c r="BC61" s="377"/>
      <c r="BD61" s="417"/>
      <c r="BE61" s="482"/>
      <c r="BF61" s="418">
        <f>-[18]foreigndebt!BE75</f>
        <v>0</v>
      </c>
      <c r="BG61" s="531"/>
      <c r="BH61" s="377"/>
      <c r="BI61" s="417"/>
      <c r="BJ61" s="482"/>
      <c r="BK61" s="418">
        <f>-[18]foreigndebt!BJ75</f>
        <v>0</v>
      </c>
      <c r="BL61" s="531"/>
      <c r="BM61" s="377"/>
      <c r="BN61" s="417"/>
      <c r="BO61" s="482"/>
      <c r="BP61" s="418">
        <f>-[18]foreigndebt!BO75</f>
        <v>0</v>
      </c>
      <c r="BQ61" s="531"/>
      <c r="BR61" s="377"/>
      <c r="BS61" s="417"/>
      <c r="BT61" s="482"/>
      <c r="BU61" s="418">
        <f>-[18]foreigndebt!BT75</f>
        <v>0</v>
      </c>
      <c r="BV61" s="531"/>
      <c r="BW61" s="377"/>
      <c r="BX61" s="465"/>
      <c r="CA61" s="410"/>
      <c r="CB61" s="410" t="e">
        <f>#REF!-#REF!</f>
        <v>#REF!</v>
      </c>
    </row>
    <row r="62" spans="1:80" ht="13.9" hidden="1" customHeight="1" x14ac:dyDescent="0.2">
      <c r="A62" s="377"/>
      <c r="B62" s="377"/>
      <c r="C62" s="465" t="s">
        <v>341</v>
      </c>
      <c r="D62" s="377"/>
      <c r="E62" s="586"/>
      <c r="F62" s="482"/>
      <c r="G62" s="482"/>
      <c r="H62" s="418"/>
      <c r="I62" s="531"/>
      <c r="J62" s="377"/>
      <c r="K62" s="417"/>
      <c r="L62" s="482"/>
      <c r="M62" s="418"/>
      <c r="N62" s="531"/>
      <c r="O62" s="377"/>
      <c r="P62" s="417"/>
      <c r="Q62" s="482"/>
      <c r="R62" s="418"/>
      <c r="S62" s="531"/>
      <c r="T62" s="377"/>
      <c r="U62" s="417"/>
      <c r="V62" s="482"/>
      <c r="W62" s="418"/>
      <c r="X62" s="531"/>
      <c r="Y62" s="377"/>
      <c r="Z62" s="417"/>
      <c r="AA62" s="482"/>
      <c r="AB62" s="418"/>
      <c r="AC62" s="531"/>
      <c r="AD62" s="377"/>
      <c r="AE62" s="417"/>
      <c r="AF62" s="482"/>
      <c r="AG62" s="418"/>
      <c r="AH62" s="531"/>
      <c r="AI62" s="377"/>
      <c r="AJ62" s="417"/>
      <c r="AK62" s="482"/>
      <c r="AL62" s="418"/>
      <c r="AM62" s="531"/>
      <c r="AN62" s="377"/>
      <c r="AO62" s="417"/>
      <c r="AP62" s="482"/>
      <c r="AQ62" s="418"/>
      <c r="AR62" s="531"/>
      <c r="AS62" s="377"/>
      <c r="AT62" s="417"/>
      <c r="AU62" s="482"/>
      <c r="AV62" s="418"/>
      <c r="AW62" s="531"/>
      <c r="AX62" s="377"/>
      <c r="AY62" s="417"/>
      <c r="AZ62" s="482"/>
      <c r="BA62" s="418"/>
      <c r="BB62" s="531"/>
      <c r="BC62" s="377"/>
      <c r="BD62" s="417"/>
      <c r="BE62" s="482"/>
      <c r="BF62" s="418"/>
      <c r="BG62" s="531"/>
      <c r="BH62" s="377"/>
      <c r="BI62" s="417"/>
      <c r="BJ62" s="482"/>
      <c r="BK62" s="418"/>
      <c r="BL62" s="531"/>
      <c r="BM62" s="377"/>
      <c r="BN62" s="417"/>
      <c r="BO62" s="482"/>
      <c r="BP62" s="418"/>
      <c r="BQ62" s="531"/>
      <c r="BR62" s="377"/>
      <c r="BS62" s="417"/>
      <c r="BT62" s="482"/>
      <c r="BU62" s="418"/>
      <c r="BV62" s="531"/>
      <c r="BW62" s="377"/>
      <c r="BX62" s="465"/>
      <c r="CA62" s="410"/>
      <c r="CB62" s="410" t="e">
        <f>#REF!-#REF!</f>
        <v>#REF!</v>
      </c>
    </row>
    <row r="63" spans="1:80" ht="13.9" hidden="1" customHeight="1" x14ac:dyDescent="0.2">
      <c r="A63" s="377"/>
      <c r="B63" s="377"/>
      <c r="C63" s="258" t="s">
        <v>355</v>
      </c>
      <c r="D63" s="377"/>
      <c r="E63" s="586"/>
      <c r="F63" s="482"/>
      <c r="G63" s="482"/>
      <c r="H63" s="418">
        <v>0</v>
      </c>
      <c r="I63" s="531"/>
      <c r="J63" s="377"/>
      <c r="K63" s="417"/>
      <c r="L63" s="482"/>
      <c r="M63" s="418">
        <f>-[18]foreigndebt!L169</f>
        <v>0</v>
      </c>
      <c r="N63" s="531"/>
      <c r="O63" s="377"/>
      <c r="P63" s="417"/>
      <c r="Q63" s="482"/>
      <c r="R63" s="418">
        <f>-[18]foreigndebt!Q169</f>
        <v>0</v>
      </c>
      <c r="S63" s="531"/>
      <c r="T63" s="377"/>
      <c r="U63" s="417"/>
      <c r="V63" s="482"/>
      <c r="W63" s="418">
        <f>-[18]foreigndebt!V169</f>
        <v>0</v>
      </c>
      <c r="X63" s="531"/>
      <c r="Y63" s="377"/>
      <c r="Z63" s="417"/>
      <c r="AA63" s="482"/>
      <c r="AB63" s="418">
        <f>-[18]foreigndebt!AA169</f>
        <v>0</v>
      </c>
      <c r="AC63" s="531"/>
      <c r="AD63" s="377"/>
      <c r="AE63" s="417"/>
      <c r="AF63" s="482"/>
      <c r="AG63" s="418">
        <f>-[18]foreigndebt!AF169</f>
        <v>0</v>
      </c>
      <c r="AH63" s="531"/>
      <c r="AI63" s="377"/>
      <c r="AJ63" s="417"/>
      <c r="AK63" s="482"/>
      <c r="AL63" s="418">
        <f>-[18]foreigndebt!AK169</f>
        <v>0</v>
      </c>
      <c r="AM63" s="531"/>
      <c r="AN63" s="377"/>
      <c r="AO63" s="417"/>
      <c r="AP63" s="482"/>
      <c r="AQ63" s="418">
        <f>-[18]foreigndebt!AP169</f>
        <v>0</v>
      </c>
      <c r="AR63" s="531"/>
      <c r="AS63" s="377"/>
      <c r="AT63" s="417"/>
      <c r="AU63" s="482"/>
      <c r="AV63" s="418">
        <f>-[18]foreigndebt!AU169</f>
        <v>0</v>
      </c>
      <c r="AW63" s="531"/>
      <c r="AX63" s="377"/>
      <c r="AY63" s="417"/>
      <c r="AZ63" s="482"/>
      <c r="BA63" s="418">
        <f>-[18]foreigndebt!AZ169</f>
        <v>0</v>
      </c>
      <c r="BB63" s="531"/>
      <c r="BC63" s="377"/>
      <c r="BD63" s="417"/>
      <c r="BE63" s="482"/>
      <c r="BF63" s="418">
        <f>-[18]foreigndebt!BE169</f>
        <v>0</v>
      </c>
      <c r="BG63" s="531"/>
      <c r="BH63" s="377"/>
      <c r="BI63" s="417"/>
      <c r="BJ63" s="482"/>
      <c r="BK63" s="418">
        <f>-[18]foreigndebt!BJ169</f>
        <v>0</v>
      </c>
      <c r="BL63" s="531"/>
      <c r="BM63" s="377"/>
      <c r="BN63" s="417"/>
      <c r="BO63" s="482"/>
      <c r="BP63" s="418">
        <f>-[18]foreigndebt!BO169</f>
        <v>0</v>
      </c>
      <c r="BQ63" s="531"/>
      <c r="BR63" s="377"/>
      <c r="BS63" s="417"/>
      <c r="BT63" s="482"/>
      <c r="BU63" s="418">
        <f>-[18]foreigndebt!BT169</f>
        <v>0</v>
      </c>
      <c r="BV63" s="531"/>
      <c r="BW63" s="377"/>
      <c r="BX63" s="465"/>
      <c r="CA63" s="410"/>
      <c r="CB63" s="410" t="e">
        <f>#REF!-#REF!</f>
        <v>#REF!</v>
      </c>
    </row>
    <row r="64" spans="1:80" ht="13.9" hidden="1" customHeight="1" x14ac:dyDescent="0.2">
      <c r="A64" s="377"/>
      <c r="B64" s="377"/>
      <c r="C64" s="258" t="s">
        <v>356</v>
      </c>
      <c r="D64" s="377"/>
      <c r="E64" s="586"/>
      <c r="F64" s="482"/>
      <c r="G64" s="482"/>
      <c r="H64" s="596">
        <v>0</v>
      </c>
      <c r="I64" s="531"/>
      <c r="J64" s="377"/>
      <c r="K64" s="417"/>
      <c r="L64" s="482"/>
      <c r="M64" s="596">
        <f>-[18]foreigndebt!L170</f>
        <v>0</v>
      </c>
      <c r="N64" s="531"/>
      <c r="O64" s="377"/>
      <c r="P64" s="417"/>
      <c r="Q64" s="482"/>
      <c r="R64" s="596">
        <f>-[18]foreigndebt!Q170</f>
        <v>0</v>
      </c>
      <c r="S64" s="531"/>
      <c r="T64" s="377"/>
      <c r="U64" s="417"/>
      <c r="V64" s="482"/>
      <c r="W64" s="596">
        <f>-[18]foreigndebt!V170</f>
        <v>0</v>
      </c>
      <c r="X64" s="531"/>
      <c r="Y64" s="377"/>
      <c r="Z64" s="417"/>
      <c r="AA64" s="482"/>
      <c r="AB64" s="596">
        <f>-[18]foreigndebt!AA170</f>
        <v>0</v>
      </c>
      <c r="AC64" s="531"/>
      <c r="AD64" s="377"/>
      <c r="AE64" s="417"/>
      <c r="AF64" s="482"/>
      <c r="AG64" s="596">
        <f>-[18]foreigndebt!AF170</f>
        <v>0</v>
      </c>
      <c r="AH64" s="531"/>
      <c r="AI64" s="377"/>
      <c r="AJ64" s="417"/>
      <c r="AK64" s="482"/>
      <c r="AL64" s="596">
        <f>-[18]foreigndebt!AK170</f>
        <v>0</v>
      </c>
      <c r="AM64" s="531"/>
      <c r="AN64" s="377"/>
      <c r="AO64" s="417"/>
      <c r="AP64" s="482"/>
      <c r="AQ64" s="596">
        <f>-[18]foreigndebt!AP170</f>
        <v>0</v>
      </c>
      <c r="AR64" s="531"/>
      <c r="AS64" s="377"/>
      <c r="AT64" s="417"/>
      <c r="AU64" s="482"/>
      <c r="AV64" s="596">
        <f>-[18]foreigndebt!AU170</f>
        <v>0</v>
      </c>
      <c r="AW64" s="531"/>
      <c r="AX64" s="377"/>
      <c r="AY64" s="417"/>
      <c r="AZ64" s="482"/>
      <c r="BA64" s="596">
        <f>-[18]foreigndebt!AZ170</f>
        <v>0</v>
      </c>
      <c r="BB64" s="531"/>
      <c r="BC64" s="377"/>
      <c r="BD64" s="417"/>
      <c r="BE64" s="482"/>
      <c r="BF64" s="596">
        <f>-[18]foreigndebt!BE170</f>
        <v>0</v>
      </c>
      <c r="BG64" s="531"/>
      <c r="BH64" s="377"/>
      <c r="BI64" s="417"/>
      <c r="BJ64" s="482"/>
      <c r="BK64" s="596">
        <f>-[18]foreigndebt!BJ170</f>
        <v>0</v>
      </c>
      <c r="BL64" s="531"/>
      <c r="BM64" s="377"/>
      <c r="BN64" s="417"/>
      <c r="BO64" s="482"/>
      <c r="BP64" s="596">
        <f>-[18]foreigndebt!BO170</f>
        <v>0</v>
      </c>
      <c r="BQ64" s="531"/>
      <c r="BR64" s="377"/>
      <c r="BS64" s="417"/>
      <c r="BT64" s="482"/>
      <c r="BU64" s="596">
        <f>-[18]foreigndebt!BT170</f>
        <v>0</v>
      </c>
      <c r="BV64" s="531"/>
      <c r="BW64" s="377"/>
      <c r="BX64" s="465"/>
      <c r="CA64" s="410"/>
      <c r="CB64" s="410" t="e">
        <f>#REF!-#REF!</f>
        <v>#REF!</v>
      </c>
    </row>
    <row r="65" spans="1:80" x14ac:dyDescent="0.2">
      <c r="A65" s="377"/>
      <c r="B65" s="377"/>
      <c r="C65" s="465"/>
      <c r="D65" s="377"/>
      <c r="E65" s="586"/>
      <c r="F65" s="482"/>
      <c r="G65" s="542"/>
      <c r="H65" s="462"/>
      <c r="I65" s="533"/>
      <c r="J65" s="377"/>
      <c r="K65" s="417"/>
      <c r="L65" s="542"/>
      <c r="M65" s="462"/>
      <c r="N65" s="533"/>
      <c r="O65" s="377"/>
      <c r="P65" s="417"/>
      <c r="Q65" s="542"/>
      <c r="R65" s="462"/>
      <c r="S65" s="533"/>
      <c r="T65" s="377"/>
      <c r="U65" s="417"/>
      <c r="V65" s="542"/>
      <c r="W65" s="462"/>
      <c r="X65" s="533"/>
      <c r="Y65" s="377"/>
      <c r="Z65" s="417"/>
      <c r="AA65" s="542"/>
      <c r="AB65" s="462"/>
      <c r="AC65" s="533"/>
      <c r="AD65" s="377"/>
      <c r="AE65" s="417"/>
      <c r="AF65" s="542"/>
      <c r="AG65" s="462"/>
      <c r="AH65" s="533"/>
      <c r="AI65" s="377"/>
      <c r="AJ65" s="417"/>
      <c r="AK65" s="542"/>
      <c r="AL65" s="462"/>
      <c r="AM65" s="533"/>
      <c r="AN65" s="377"/>
      <c r="AO65" s="417"/>
      <c r="AP65" s="542"/>
      <c r="AQ65" s="462"/>
      <c r="AR65" s="533"/>
      <c r="AS65" s="377"/>
      <c r="AT65" s="417"/>
      <c r="AU65" s="542"/>
      <c r="AV65" s="462"/>
      <c r="AW65" s="533"/>
      <c r="AX65" s="377"/>
      <c r="AY65" s="417"/>
      <c r="AZ65" s="542"/>
      <c r="BA65" s="462"/>
      <c r="BB65" s="533"/>
      <c r="BC65" s="377"/>
      <c r="BD65" s="417"/>
      <c r="BE65" s="542"/>
      <c r="BF65" s="462"/>
      <c r="BG65" s="533"/>
      <c r="BH65" s="377"/>
      <c r="BI65" s="417"/>
      <c r="BJ65" s="542"/>
      <c r="BK65" s="462"/>
      <c r="BL65" s="533"/>
      <c r="BM65" s="377"/>
      <c r="BN65" s="417"/>
      <c r="BO65" s="542"/>
      <c r="BP65" s="462"/>
      <c r="BQ65" s="533"/>
      <c r="BR65" s="377"/>
      <c r="BS65" s="417"/>
      <c r="BT65" s="542"/>
      <c r="BU65" s="462"/>
      <c r="BV65" s="533"/>
      <c r="BW65" s="377"/>
      <c r="BX65" s="465"/>
      <c r="CA65" s="410"/>
      <c r="CB65" s="410" t="e">
        <f>#REF!-#REF!</f>
        <v>#REF!</v>
      </c>
    </row>
    <row r="66" spans="1:80" x14ac:dyDescent="0.2">
      <c r="A66" s="377"/>
      <c r="B66" s="377"/>
      <c r="C66" s="465"/>
      <c r="D66" s="377"/>
      <c r="E66" s="586"/>
      <c r="F66" s="482"/>
      <c r="G66" s="378"/>
      <c r="H66" s="377"/>
      <c r="I66" s="377"/>
      <c r="J66" s="377"/>
      <c r="K66" s="417"/>
      <c r="L66" s="377"/>
      <c r="M66" s="377"/>
      <c r="N66" s="377"/>
      <c r="O66" s="377"/>
      <c r="P66" s="417"/>
      <c r="Q66" s="377"/>
      <c r="R66" s="377"/>
      <c r="S66" s="377"/>
      <c r="T66" s="377"/>
      <c r="U66" s="417"/>
      <c r="V66" s="377"/>
      <c r="W66" s="377"/>
      <c r="X66" s="377"/>
      <c r="Y66" s="377"/>
      <c r="Z66" s="417"/>
      <c r="AA66" s="377"/>
      <c r="AB66" s="377"/>
      <c r="AC66" s="377"/>
      <c r="AD66" s="377"/>
      <c r="AE66" s="417"/>
      <c r="AF66" s="377"/>
      <c r="AG66" s="377"/>
      <c r="AH66" s="377"/>
      <c r="AI66" s="377"/>
      <c r="AJ66" s="417"/>
      <c r="AK66" s="377"/>
      <c r="AL66" s="377"/>
      <c r="AM66" s="377"/>
      <c r="AN66" s="377"/>
      <c r="AO66" s="417"/>
      <c r="AP66" s="377"/>
      <c r="AQ66" s="377"/>
      <c r="AR66" s="377"/>
      <c r="AS66" s="377"/>
      <c r="AT66" s="417"/>
      <c r="AU66" s="377"/>
      <c r="AV66" s="377"/>
      <c r="AW66" s="377"/>
      <c r="AX66" s="377"/>
      <c r="AY66" s="417"/>
      <c r="AZ66" s="377"/>
      <c r="BA66" s="377"/>
      <c r="BB66" s="377"/>
      <c r="BC66" s="377"/>
      <c r="BD66" s="417"/>
      <c r="BE66" s="377"/>
      <c r="BF66" s="377"/>
      <c r="BG66" s="377"/>
      <c r="BH66" s="377"/>
      <c r="BI66" s="417"/>
      <c r="BJ66" s="377"/>
      <c r="BK66" s="377"/>
      <c r="BL66" s="377"/>
      <c r="BM66" s="377"/>
      <c r="BN66" s="417"/>
      <c r="BO66" s="377"/>
      <c r="BP66" s="377"/>
      <c r="BQ66" s="377"/>
      <c r="BR66" s="377"/>
      <c r="BS66" s="417"/>
      <c r="BT66" s="377"/>
      <c r="BU66" s="377"/>
      <c r="BV66" s="377"/>
      <c r="BW66" s="377"/>
      <c r="BX66" s="465"/>
      <c r="CA66" s="410"/>
      <c r="CB66" s="410" t="e">
        <f>#REF!-#REF!</f>
        <v>#REF!</v>
      </c>
    </row>
    <row r="67" spans="1:80" s="410" customFormat="1" x14ac:dyDescent="0.2">
      <c r="A67" s="411"/>
      <c r="B67" s="411"/>
      <c r="C67" s="455" t="s">
        <v>358</v>
      </c>
      <c r="D67" s="411"/>
      <c r="E67" s="597" t="s">
        <v>359</v>
      </c>
      <c r="F67" s="598"/>
      <c r="G67" s="605"/>
      <c r="H67" s="588">
        <f>SUM(H68:H75)</f>
        <v>43058433.447741508</v>
      </c>
      <c r="I67" s="588"/>
      <c r="J67" s="588"/>
      <c r="K67" s="589"/>
      <c r="L67" s="588"/>
      <c r="M67" s="411">
        <f>SUM(M68:M75)</f>
        <v>-18499278.953769997</v>
      </c>
      <c r="N67" s="411"/>
      <c r="O67" s="411"/>
      <c r="P67" s="485"/>
      <c r="Q67" s="411"/>
      <c r="R67" s="411">
        <f>SUM(R68:R75)</f>
        <v>537410.36356998235</v>
      </c>
      <c r="S67" s="411"/>
      <c r="T67" s="411"/>
      <c r="U67" s="485"/>
      <c r="V67" s="411"/>
      <c r="W67" s="411">
        <f>SUM(W68:W75)</f>
        <v>-23974845.376640022</v>
      </c>
      <c r="X67" s="411"/>
      <c r="Y67" s="411"/>
      <c r="Z67" s="485"/>
      <c r="AA67" s="411"/>
      <c r="AB67" s="411">
        <f>SUM(AB68:AB75)</f>
        <v>-39272434.960170001</v>
      </c>
      <c r="AC67" s="411"/>
      <c r="AD67" s="411"/>
      <c r="AE67" s="485"/>
      <c r="AF67" s="411"/>
      <c r="AG67" s="411">
        <f>SUM(AG68:AG75)</f>
        <v>32418642.456500009</v>
      </c>
      <c r="AH67" s="411"/>
      <c r="AI67" s="411"/>
      <c r="AJ67" s="485"/>
      <c r="AK67" s="411"/>
      <c r="AL67" s="411">
        <f>SUM(AL68:AL75)</f>
        <v>-8875713.0291699618</v>
      </c>
      <c r="AM67" s="411"/>
      <c r="AN67" s="411"/>
      <c r="AO67" s="485"/>
      <c r="AP67" s="411"/>
      <c r="AQ67" s="411">
        <f>SUM(AQ68:AQ75)</f>
        <v>298709835</v>
      </c>
      <c r="AR67" s="411"/>
      <c r="AS67" s="411"/>
      <c r="AT67" s="485"/>
      <c r="AU67" s="411"/>
      <c r="AV67" s="411">
        <f>SUM(AV68:AV75)</f>
        <v>0</v>
      </c>
      <c r="AW67" s="411"/>
      <c r="AX67" s="411"/>
      <c r="AY67" s="485"/>
      <c r="AZ67" s="411"/>
      <c r="BA67" s="411">
        <f>SUM(BA68:BA75)</f>
        <v>0</v>
      </c>
      <c r="BB67" s="411"/>
      <c r="BC67" s="411"/>
      <c r="BD67" s="485"/>
      <c r="BE67" s="411"/>
      <c r="BF67" s="411">
        <f>SUM(BF68:BF75)</f>
        <v>0</v>
      </c>
      <c r="BG67" s="411"/>
      <c r="BH67" s="411"/>
      <c r="BI67" s="485"/>
      <c r="BJ67" s="411"/>
      <c r="BK67" s="411">
        <f>SUM(BK68:BK75)</f>
        <v>0</v>
      </c>
      <c r="BL67" s="411"/>
      <c r="BM67" s="411"/>
      <c r="BN67" s="485"/>
      <c r="BO67" s="411"/>
      <c r="BP67" s="411">
        <f>SUM(BP68:BP75)</f>
        <v>0</v>
      </c>
      <c r="BQ67" s="411"/>
      <c r="BR67" s="411"/>
      <c r="BS67" s="485"/>
      <c r="BT67" s="411"/>
      <c r="BU67" s="411">
        <f>SUM(BU68:BU75)</f>
        <v>-57666219.499679998</v>
      </c>
      <c r="BV67" s="411"/>
      <c r="BW67" s="411"/>
      <c r="BX67" s="455"/>
      <c r="BY67" s="411"/>
      <c r="CB67" s="410" t="e">
        <f>#REF!-#REF!</f>
        <v>#REF!</v>
      </c>
    </row>
    <row r="68" spans="1:80" ht="12.75" customHeight="1" x14ac:dyDescent="0.2">
      <c r="A68" s="377"/>
      <c r="B68" s="377"/>
      <c r="C68" s="465" t="s">
        <v>360</v>
      </c>
      <c r="D68" s="377"/>
      <c r="E68" s="586"/>
      <c r="F68" s="482"/>
      <c r="G68" s="539"/>
      <c r="H68" s="466">
        <f>+[18]cashbalances!H12</f>
        <v>38975668</v>
      </c>
      <c r="I68" s="529"/>
      <c r="J68" s="377"/>
      <c r="K68" s="417"/>
      <c r="L68" s="469"/>
      <c r="M68" s="466">
        <f>+[18]cashbalances!M12</f>
        <v>-18484170</v>
      </c>
      <c r="N68" s="529"/>
      <c r="O68" s="377"/>
      <c r="P68" s="417"/>
      <c r="Q68" s="469"/>
      <c r="R68" s="466">
        <f>+[18]cashbalances!R12</f>
        <v>3349854</v>
      </c>
      <c r="S68" s="529"/>
      <c r="T68" s="377"/>
      <c r="U68" s="417"/>
      <c r="V68" s="469"/>
      <c r="W68" s="466">
        <f>+[18]cashbalances!W12</f>
        <v>-22973000</v>
      </c>
      <c r="X68" s="529"/>
      <c r="Y68" s="377"/>
      <c r="Z68" s="417"/>
      <c r="AA68" s="469"/>
      <c r="AB68" s="466">
        <f>+[18]cashbalances!AB12</f>
        <v>-53649787</v>
      </c>
      <c r="AC68" s="529"/>
      <c r="AD68" s="377"/>
      <c r="AE68" s="417"/>
      <c r="AF68" s="469"/>
      <c r="AG68" s="466">
        <f>+[18]cashbalances!AG12</f>
        <v>41961434</v>
      </c>
      <c r="AH68" s="529"/>
      <c r="AI68" s="377"/>
      <c r="AJ68" s="417"/>
      <c r="AK68" s="469"/>
      <c r="AL68" s="466">
        <f>+[18]cashbalances!AL12</f>
        <v>-13252498</v>
      </c>
      <c r="AM68" s="529"/>
      <c r="AN68" s="377"/>
      <c r="AO68" s="417"/>
      <c r="AP68" s="469"/>
      <c r="AQ68" s="466">
        <f>+[18]cashbalances!AQ12</f>
        <v>298709835</v>
      </c>
      <c r="AR68" s="529"/>
      <c r="AS68" s="377"/>
      <c r="AT68" s="417"/>
      <c r="AU68" s="469"/>
      <c r="AV68" s="466">
        <f>+[18]cashbalances!AV12</f>
        <v>0</v>
      </c>
      <c r="AW68" s="529"/>
      <c r="AX68" s="377"/>
      <c r="AY68" s="417"/>
      <c r="AZ68" s="469"/>
      <c r="BA68" s="466">
        <f>+[18]cashbalances!BA12</f>
        <v>0</v>
      </c>
      <c r="BB68" s="529"/>
      <c r="BC68" s="377"/>
      <c r="BD68" s="417"/>
      <c r="BE68" s="469"/>
      <c r="BF68" s="466">
        <f>+[18]cashbalances!BF12</f>
        <v>0</v>
      </c>
      <c r="BG68" s="529"/>
      <c r="BH68" s="377"/>
      <c r="BI68" s="417"/>
      <c r="BJ68" s="469"/>
      <c r="BK68" s="466">
        <f>+[18]cashbalances!BK12</f>
        <v>0</v>
      </c>
      <c r="BL68" s="529"/>
      <c r="BM68" s="377"/>
      <c r="BN68" s="417"/>
      <c r="BO68" s="469"/>
      <c r="BP68" s="466">
        <f>+[18]cashbalances!BP12</f>
        <v>0</v>
      </c>
      <c r="BQ68" s="529"/>
      <c r="BR68" s="377"/>
      <c r="BS68" s="417"/>
      <c r="BT68" s="469"/>
      <c r="BU68" s="466">
        <f>+[18]cashbalances!BU12</f>
        <v>-63048167</v>
      </c>
      <c r="BV68" s="529"/>
      <c r="BW68" s="377"/>
      <c r="BX68" s="465"/>
      <c r="CA68" s="410"/>
      <c r="CB68" s="410" t="e">
        <f>#REF!-#REF!</f>
        <v>#REF!</v>
      </c>
    </row>
    <row r="69" spans="1:80" ht="12.75" hidden="1" customHeight="1" x14ac:dyDescent="0.2">
      <c r="A69" s="377"/>
      <c r="B69" s="377"/>
      <c r="C69" s="465" t="s">
        <v>361</v>
      </c>
      <c r="D69" s="377"/>
      <c r="E69" s="586"/>
      <c r="F69" s="482"/>
      <c r="G69" s="482"/>
      <c r="H69" s="377"/>
      <c r="I69" s="531"/>
      <c r="J69" s="377"/>
      <c r="K69" s="417"/>
      <c r="L69" s="417"/>
      <c r="M69" s="377"/>
      <c r="N69" s="531"/>
      <c r="O69" s="377"/>
      <c r="P69" s="417"/>
      <c r="Q69" s="417"/>
      <c r="R69" s="377"/>
      <c r="S69" s="531"/>
      <c r="T69" s="377"/>
      <c r="U69" s="417"/>
      <c r="V69" s="417"/>
      <c r="W69" s="377"/>
      <c r="X69" s="531"/>
      <c r="Y69" s="377"/>
      <c r="Z69" s="417"/>
      <c r="AA69" s="417"/>
      <c r="AB69" s="377"/>
      <c r="AC69" s="531"/>
      <c r="AD69" s="377"/>
      <c r="AE69" s="417"/>
      <c r="AF69" s="417"/>
      <c r="AG69" s="377"/>
      <c r="AH69" s="531"/>
      <c r="AI69" s="377"/>
      <c r="AJ69" s="417"/>
      <c r="AK69" s="417"/>
      <c r="AL69" s="377"/>
      <c r="AM69" s="531"/>
      <c r="AN69" s="377"/>
      <c r="AO69" s="417"/>
      <c r="AP69" s="417"/>
      <c r="AQ69" s="377"/>
      <c r="AR69" s="531"/>
      <c r="AS69" s="377"/>
      <c r="AT69" s="417"/>
      <c r="AU69" s="417"/>
      <c r="AV69" s="377"/>
      <c r="AW69" s="531"/>
      <c r="AX69" s="377"/>
      <c r="AY69" s="417"/>
      <c r="AZ69" s="417"/>
      <c r="BA69" s="377"/>
      <c r="BB69" s="531"/>
      <c r="BC69" s="377"/>
      <c r="BD69" s="417"/>
      <c r="BE69" s="417"/>
      <c r="BF69" s="377"/>
      <c r="BG69" s="531"/>
      <c r="BH69" s="377"/>
      <c r="BI69" s="417"/>
      <c r="BJ69" s="417"/>
      <c r="BK69" s="377"/>
      <c r="BL69" s="531"/>
      <c r="BM69" s="377"/>
      <c r="BN69" s="417"/>
      <c r="BO69" s="417"/>
      <c r="BP69" s="377"/>
      <c r="BQ69" s="531"/>
      <c r="BR69" s="377"/>
      <c r="BS69" s="417"/>
      <c r="BT69" s="417"/>
      <c r="BU69" s="377"/>
      <c r="BV69" s="531"/>
      <c r="BW69" s="377"/>
      <c r="BX69" s="465"/>
      <c r="CA69" s="410"/>
      <c r="CB69" s="410" t="e">
        <f>#REF!-#REF!</f>
        <v>#REF!</v>
      </c>
    </row>
    <row r="70" spans="1:80" ht="12.75" customHeight="1" x14ac:dyDescent="0.2">
      <c r="A70" s="377"/>
      <c r="B70" s="377"/>
      <c r="C70" s="465" t="s">
        <v>361</v>
      </c>
      <c r="D70" s="377"/>
      <c r="E70" s="586"/>
      <c r="F70" s="482"/>
      <c r="G70" s="482"/>
      <c r="H70" s="377">
        <f>+[18]cashbalances!H23</f>
        <v>0</v>
      </c>
      <c r="I70" s="531"/>
      <c r="J70" s="377"/>
      <c r="K70" s="417"/>
      <c r="L70" s="417"/>
      <c r="M70" s="377">
        <f>+[18]cashbalances!M23</f>
        <v>34143659</v>
      </c>
      <c r="N70" s="531"/>
      <c r="O70" s="377"/>
      <c r="P70" s="417"/>
      <c r="Q70" s="417"/>
      <c r="R70" s="377">
        <f>+[18]cashbalances!R23</f>
        <v>-4349966</v>
      </c>
      <c r="S70" s="531"/>
      <c r="T70" s="377"/>
      <c r="U70" s="417"/>
      <c r="V70" s="417"/>
      <c r="W70" s="377">
        <f>+[18]cashbalances!W23</f>
        <v>2527515</v>
      </c>
      <c r="X70" s="531"/>
      <c r="Y70" s="377"/>
      <c r="Z70" s="417"/>
      <c r="AA70" s="417"/>
      <c r="AB70" s="377">
        <f>+[18]cashbalances!AB23</f>
        <v>-24856159</v>
      </c>
      <c r="AC70" s="531"/>
      <c r="AD70" s="377"/>
      <c r="AE70" s="417"/>
      <c r="AF70" s="417"/>
      <c r="AG70" s="377">
        <f>+[18]cashbalances!AG23</f>
        <v>26866570</v>
      </c>
      <c r="AH70" s="531"/>
      <c r="AI70" s="377"/>
      <c r="AJ70" s="417"/>
      <c r="AK70" s="417"/>
      <c r="AL70" s="377">
        <f>+[18]cashbalances!AL23</f>
        <v>-5977613</v>
      </c>
      <c r="AM70" s="531"/>
      <c r="AN70" s="377"/>
      <c r="AO70" s="417"/>
      <c r="AP70" s="417"/>
      <c r="AQ70" s="377">
        <f>+[18]cashbalances!AQ23</f>
        <v>0</v>
      </c>
      <c r="AR70" s="531"/>
      <c r="AS70" s="377"/>
      <c r="AT70" s="417"/>
      <c r="AU70" s="417"/>
      <c r="AV70" s="377">
        <f>+[18]cashbalances!AV23</f>
        <v>0</v>
      </c>
      <c r="AW70" s="531"/>
      <c r="AX70" s="377"/>
      <c r="AY70" s="417"/>
      <c r="AZ70" s="417"/>
      <c r="BA70" s="377">
        <f>+[18]cashbalances!BA23</f>
        <v>0</v>
      </c>
      <c r="BB70" s="531"/>
      <c r="BC70" s="377"/>
      <c r="BD70" s="417"/>
      <c r="BE70" s="417"/>
      <c r="BF70" s="377">
        <f>+[18]cashbalances!BF23</f>
        <v>0</v>
      </c>
      <c r="BG70" s="531"/>
      <c r="BH70" s="377"/>
      <c r="BI70" s="417"/>
      <c r="BJ70" s="417"/>
      <c r="BK70" s="377">
        <f>+[18]cashbalances!BK23</f>
        <v>0</v>
      </c>
      <c r="BL70" s="531"/>
      <c r="BM70" s="377"/>
      <c r="BN70" s="417"/>
      <c r="BO70" s="417"/>
      <c r="BP70" s="377">
        <f>+[18]cashbalances!BP23</f>
        <v>0</v>
      </c>
      <c r="BQ70" s="531"/>
      <c r="BR70" s="377"/>
      <c r="BS70" s="417"/>
      <c r="BT70" s="417"/>
      <c r="BU70" s="377">
        <f>+[18]cashbalances!BU23</f>
        <v>28354006</v>
      </c>
      <c r="BV70" s="531"/>
      <c r="BW70" s="377"/>
      <c r="BX70" s="465"/>
      <c r="CA70" s="410"/>
      <c r="CB70" s="410" t="e">
        <f>#REF!-#REF!</f>
        <v>#REF!</v>
      </c>
    </row>
    <row r="71" spans="1:80" ht="12.75" customHeight="1" x14ac:dyDescent="0.2">
      <c r="A71" s="377"/>
      <c r="B71" s="377"/>
      <c r="C71" s="258" t="s">
        <v>362</v>
      </c>
      <c r="D71" s="377"/>
      <c r="E71" s="586"/>
      <c r="F71" s="482"/>
      <c r="G71" s="482"/>
      <c r="H71" s="377">
        <f>+[18]cashbalances!H25</f>
        <v>0</v>
      </c>
      <c r="I71" s="531"/>
      <c r="J71" s="377"/>
      <c r="K71" s="417"/>
      <c r="L71" s="417"/>
      <c r="M71" s="377">
        <f>[18]cashbalances!M25</f>
        <v>0</v>
      </c>
      <c r="N71" s="531"/>
      <c r="O71" s="377"/>
      <c r="P71" s="417"/>
      <c r="Q71" s="417"/>
      <c r="R71" s="377">
        <f>[18]cashbalances!R25</f>
        <v>0</v>
      </c>
      <c r="S71" s="531"/>
      <c r="T71" s="377"/>
      <c r="U71" s="417"/>
      <c r="V71" s="417"/>
      <c r="W71" s="377">
        <f>[18]cashbalances!W25</f>
        <v>0</v>
      </c>
      <c r="X71" s="531"/>
      <c r="Y71" s="377"/>
      <c r="Z71" s="417"/>
      <c r="AA71" s="417"/>
      <c r="AB71" s="377">
        <f>[18]cashbalances!AB25</f>
        <v>0</v>
      </c>
      <c r="AC71" s="531"/>
      <c r="AD71" s="377"/>
      <c r="AE71" s="417"/>
      <c r="AF71" s="417"/>
      <c r="AG71" s="377">
        <f>[18]cashbalances!AG25</f>
        <v>0</v>
      </c>
      <c r="AH71" s="531"/>
      <c r="AI71" s="377"/>
      <c r="AJ71" s="417"/>
      <c r="AK71" s="417"/>
      <c r="AL71" s="377">
        <f>[18]cashbalances!AL25</f>
        <v>0</v>
      </c>
      <c r="AM71" s="531"/>
      <c r="AN71" s="377"/>
      <c r="AO71" s="417"/>
      <c r="AP71" s="417"/>
      <c r="AQ71" s="377">
        <f>[18]cashbalances!AQ25</f>
        <v>0</v>
      </c>
      <c r="AR71" s="531"/>
      <c r="AS71" s="377"/>
      <c r="AT71" s="417"/>
      <c r="AU71" s="417"/>
      <c r="AV71" s="377">
        <f>[18]cashbalances!AV25</f>
        <v>0</v>
      </c>
      <c r="AW71" s="531"/>
      <c r="AX71" s="377"/>
      <c r="AY71" s="417"/>
      <c r="AZ71" s="417"/>
      <c r="BA71" s="377">
        <f>[18]cashbalances!BA25</f>
        <v>0</v>
      </c>
      <c r="BB71" s="531"/>
      <c r="BC71" s="377"/>
      <c r="BD71" s="417"/>
      <c r="BE71" s="417"/>
      <c r="BF71" s="377">
        <f>[18]cashbalances!BF25</f>
        <v>0</v>
      </c>
      <c r="BG71" s="531"/>
      <c r="BH71" s="377"/>
      <c r="BI71" s="417"/>
      <c r="BJ71" s="417"/>
      <c r="BK71" s="377">
        <f>[18]cashbalances!BK25</f>
        <v>0</v>
      </c>
      <c r="BL71" s="531"/>
      <c r="BM71" s="377"/>
      <c r="BN71" s="417"/>
      <c r="BO71" s="417"/>
      <c r="BP71" s="377">
        <f>[18]cashbalances!BP25</f>
        <v>0</v>
      </c>
      <c r="BQ71" s="531"/>
      <c r="BR71" s="377"/>
      <c r="BS71" s="417"/>
      <c r="BT71" s="417"/>
      <c r="BU71" s="377">
        <f>[18]cashbalances!BU25</f>
        <v>0</v>
      </c>
      <c r="BV71" s="531"/>
      <c r="BW71" s="377"/>
      <c r="BX71" s="465"/>
      <c r="CA71" s="410"/>
      <c r="CB71" s="410" t="e">
        <f>#REF!-#REF!</f>
        <v>#REF!</v>
      </c>
    </row>
    <row r="72" spans="1:80" ht="12.75" customHeight="1" x14ac:dyDescent="0.2">
      <c r="A72" s="377"/>
      <c r="B72" s="377"/>
      <c r="C72" s="465" t="s">
        <v>363</v>
      </c>
      <c r="D72" s="377"/>
      <c r="E72" s="586"/>
      <c r="F72" s="482"/>
      <c r="G72" s="482"/>
      <c r="H72" s="377">
        <f>+[18]cashbalances!H27</f>
        <v>4082765.4477415099</v>
      </c>
      <c r="I72" s="531"/>
      <c r="J72" s="377"/>
      <c r="K72" s="417"/>
      <c r="L72" s="417"/>
      <c r="M72" s="377">
        <f>+[18]cashbalances!M27</f>
        <v>0</v>
      </c>
      <c r="N72" s="531"/>
      <c r="O72" s="377"/>
      <c r="P72" s="417"/>
      <c r="Q72" s="417"/>
      <c r="R72" s="377">
        <f>+[18]cashbalances!R27</f>
        <v>871744.25600000005</v>
      </c>
      <c r="S72" s="531"/>
      <c r="T72" s="377"/>
      <c r="U72" s="417"/>
      <c r="V72" s="417"/>
      <c r="W72" s="377">
        <f>+[18]cashbalances!W27</f>
        <v>0</v>
      </c>
      <c r="X72" s="531"/>
      <c r="Y72" s="377"/>
      <c r="Z72" s="417"/>
      <c r="AA72" s="417"/>
      <c r="AB72" s="377">
        <f>+[18]cashbalances!AB27</f>
        <v>126224</v>
      </c>
      <c r="AC72" s="531"/>
      <c r="AD72" s="377"/>
      <c r="AE72" s="417"/>
      <c r="AF72" s="417"/>
      <c r="AG72" s="377">
        <f>+[18]cashbalances!AG27</f>
        <v>0</v>
      </c>
      <c r="AH72" s="531"/>
      <c r="AI72" s="377"/>
      <c r="AJ72" s="417"/>
      <c r="AK72" s="417"/>
      <c r="AL72" s="377">
        <f>+[18]cashbalances!AL27</f>
        <v>3836</v>
      </c>
      <c r="AM72" s="531"/>
      <c r="AN72" s="377"/>
      <c r="AO72" s="417"/>
      <c r="AP72" s="417"/>
      <c r="AQ72" s="377">
        <f>+[18]cashbalances!AQ27</f>
        <v>0</v>
      </c>
      <c r="AR72" s="531"/>
      <c r="AS72" s="377"/>
      <c r="AT72" s="417"/>
      <c r="AU72" s="417"/>
      <c r="AV72" s="377">
        <f>+[18]cashbalances!AV27</f>
        <v>0</v>
      </c>
      <c r="AW72" s="531"/>
      <c r="AX72" s="377"/>
      <c r="AY72" s="417"/>
      <c r="AZ72" s="417"/>
      <c r="BA72" s="377">
        <f>+[18]cashbalances!BA27</f>
        <v>0</v>
      </c>
      <c r="BB72" s="531"/>
      <c r="BC72" s="377"/>
      <c r="BD72" s="417"/>
      <c r="BE72" s="417"/>
      <c r="BF72" s="377">
        <f>+[18]cashbalances!BF27</f>
        <v>0</v>
      </c>
      <c r="BG72" s="531"/>
      <c r="BH72" s="377"/>
      <c r="BI72" s="417"/>
      <c r="BJ72" s="417"/>
      <c r="BK72" s="377">
        <f>+[18]cashbalances!BK27</f>
        <v>0</v>
      </c>
      <c r="BL72" s="531"/>
      <c r="BM72" s="377"/>
      <c r="BN72" s="417"/>
      <c r="BO72" s="417"/>
      <c r="BP72" s="377">
        <f>+[18]cashbalances!BP27</f>
        <v>0</v>
      </c>
      <c r="BQ72" s="531"/>
      <c r="BR72" s="377"/>
      <c r="BS72" s="417"/>
      <c r="BT72" s="417"/>
      <c r="BU72" s="377">
        <f>+[18]cashbalances!BU27</f>
        <v>1001804.2560000001</v>
      </c>
      <c r="BV72" s="531"/>
      <c r="BW72" s="377"/>
      <c r="BX72" s="465"/>
      <c r="CA72" s="410"/>
      <c r="CB72" s="410" t="e">
        <f>#REF!-#REF!</f>
        <v>#REF!</v>
      </c>
    </row>
    <row r="73" spans="1:80" ht="12.75" customHeight="1" x14ac:dyDescent="0.2">
      <c r="A73" s="377"/>
      <c r="B73" s="377"/>
      <c r="C73" s="465" t="s">
        <v>364</v>
      </c>
      <c r="D73" s="377"/>
      <c r="E73" s="586"/>
      <c r="F73" s="482"/>
      <c r="G73" s="482"/>
      <c r="H73" s="377">
        <f>+[18]cashbalances!H32</f>
        <v>0</v>
      </c>
      <c r="I73" s="531"/>
      <c r="J73" s="377"/>
      <c r="K73" s="417"/>
      <c r="L73" s="417"/>
      <c r="M73" s="377">
        <f>+[18]cashbalances!M32</f>
        <v>0</v>
      </c>
      <c r="N73" s="531"/>
      <c r="O73" s="377"/>
      <c r="P73" s="417"/>
      <c r="Q73" s="417"/>
      <c r="R73" s="377">
        <f>+[18]cashbalances!R32</f>
        <v>0</v>
      </c>
      <c r="S73" s="531"/>
      <c r="T73" s="377"/>
      <c r="U73" s="417"/>
      <c r="V73" s="417"/>
      <c r="W73" s="377">
        <f>+[18]cashbalances!W32</f>
        <v>0</v>
      </c>
      <c r="X73" s="531"/>
      <c r="Y73" s="377"/>
      <c r="Z73" s="417"/>
      <c r="AA73" s="417"/>
      <c r="AB73" s="377">
        <f>+[18]cashbalances!AB32</f>
        <v>-22185</v>
      </c>
      <c r="AC73" s="531"/>
      <c r="AD73" s="377"/>
      <c r="AE73" s="417"/>
      <c r="AF73" s="417"/>
      <c r="AG73" s="377">
        <f>+[18]cashbalances!AG32</f>
        <v>0</v>
      </c>
      <c r="AH73" s="531"/>
      <c r="AI73" s="377"/>
      <c r="AJ73" s="417"/>
      <c r="AK73" s="417"/>
      <c r="AL73" s="377">
        <f>+[18]cashbalances!AL32</f>
        <v>0</v>
      </c>
      <c r="AM73" s="531"/>
      <c r="AN73" s="377"/>
      <c r="AO73" s="417"/>
      <c r="AP73" s="417"/>
      <c r="AQ73" s="377">
        <f>+[18]cashbalances!AQ32</f>
        <v>0</v>
      </c>
      <c r="AR73" s="531"/>
      <c r="AS73" s="377"/>
      <c r="AT73" s="417"/>
      <c r="AU73" s="417"/>
      <c r="AV73" s="377">
        <f>+[18]cashbalances!AV32</f>
        <v>0</v>
      </c>
      <c r="AW73" s="531"/>
      <c r="AX73" s="377"/>
      <c r="AY73" s="417"/>
      <c r="AZ73" s="417"/>
      <c r="BA73" s="377">
        <f>+[18]cashbalances!BA32</f>
        <v>0</v>
      </c>
      <c r="BB73" s="531"/>
      <c r="BC73" s="377"/>
      <c r="BD73" s="417"/>
      <c r="BE73" s="417"/>
      <c r="BF73" s="377">
        <f>+[18]cashbalances!BF32</f>
        <v>0</v>
      </c>
      <c r="BG73" s="531"/>
      <c r="BH73" s="377"/>
      <c r="BI73" s="417"/>
      <c r="BJ73" s="417"/>
      <c r="BK73" s="377">
        <f>+[18]cashbalances!BK32</f>
        <v>0</v>
      </c>
      <c r="BL73" s="531"/>
      <c r="BM73" s="377"/>
      <c r="BN73" s="417"/>
      <c r="BO73" s="417"/>
      <c r="BP73" s="377">
        <f>+[18]cashbalances!BP32</f>
        <v>0</v>
      </c>
      <c r="BQ73" s="531"/>
      <c r="BR73" s="377"/>
      <c r="BS73" s="417"/>
      <c r="BT73" s="417"/>
      <c r="BU73" s="377">
        <f>+[18]cashbalances!BU32</f>
        <v>-22185</v>
      </c>
      <c r="BV73" s="531"/>
      <c r="BW73" s="377"/>
      <c r="BX73" s="465"/>
      <c r="CA73" s="410"/>
      <c r="CB73" s="410" t="e">
        <f>#REF!-#REF!</f>
        <v>#REF!</v>
      </c>
    </row>
    <row r="74" spans="1:80" ht="12.75" hidden="1" customHeight="1" x14ac:dyDescent="0.2">
      <c r="A74" s="377"/>
      <c r="B74" s="377"/>
      <c r="C74" s="465" t="s">
        <v>365</v>
      </c>
      <c r="D74" s="377"/>
      <c r="E74" s="586"/>
      <c r="F74" s="482"/>
      <c r="G74" s="482"/>
      <c r="H74" s="377"/>
      <c r="I74" s="531"/>
      <c r="J74" s="377"/>
      <c r="K74" s="417"/>
      <c r="L74" s="417"/>
      <c r="M74" s="377"/>
      <c r="N74" s="531"/>
      <c r="O74" s="377"/>
      <c r="P74" s="417"/>
      <c r="Q74" s="417"/>
      <c r="R74" s="377"/>
      <c r="S74" s="531"/>
      <c r="T74" s="377"/>
      <c r="U74" s="417"/>
      <c r="V74" s="417"/>
      <c r="W74" s="377"/>
      <c r="X74" s="531"/>
      <c r="Y74" s="377"/>
      <c r="Z74" s="417"/>
      <c r="AA74" s="417"/>
      <c r="AB74" s="377"/>
      <c r="AC74" s="531"/>
      <c r="AD74" s="377"/>
      <c r="AE74" s="417"/>
      <c r="AF74" s="417"/>
      <c r="AG74" s="377"/>
      <c r="AH74" s="531"/>
      <c r="AI74" s="377"/>
      <c r="AJ74" s="417"/>
      <c r="AK74" s="417"/>
      <c r="AL74" s="377"/>
      <c r="AM74" s="531"/>
      <c r="AN74" s="377"/>
      <c r="AO74" s="417"/>
      <c r="AP74" s="417"/>
      <c r="AQ74" s="377"/>
      <c r="AR74" s="531"/>
      <c r="AS74" s="377"/>
      <c r="AT74" s="417"/>
      <c r="AU74" s="417"/>
      <c r="AV74" s="377"/>
      <c r="AW74" s="531"/>
      <c r="AX74" s="377"/>
      <c r="AY74" s="417"/>
      <c r="AZ74" s="417"/>
      <c r="BA74" s="377"/>
      <c r="BB74" s="531"/>
      <c r="BC74" s="377"/>
      <c r="BD74" s="417"/>
      <c r="BE74" s="417"/>
      <c r="BF74" s="377"/>
      <c r="BG74" s="531"/>
      <c r="BH74" s="377"/>
      <c r="BI74" s="417"/>
      <c r="BJ74" s="417"/>
      <c r="BK74" s="377"/>
      <c r="BL74" s="531"/>
      <c r="BM74" s="377"/>
      <c r="BN74" s="417"/>
      <c r="BO74" s="417"/>
      <c r="BP74" s="377"/>
      <c r="BQ74" s="531"/>
      <c r="BR74" s="377"/>
      <c r="BS74" s="417"/>
      <c r="BT74" s="417"/>
      <c r="BU74" s="377"/>
      <c r="BV74" s="531"/>
      <c r="BW74" s="377"/>
      <c r="BX74" s="465"/>
      <c r="CA74" s="410"/>
      <c r="CB74" s="410" t="e">
        <f>#REF!-#REF!</f>
        <v>#REF!</v>
      </c>
    </row>
    <row r="75" spans="1:80" ht="12.75" customHeight="1" x14ac:dyDescent="0.2">
      <c r="A75" s="377"/>
      <c r="B75" s="377"/>
      <c r="C75" s="465" t="s">
        <v>365</v>
      </c>
      <c r="D75" s="377"/>
      <c r="E75" s="586"/>
      <c r="F75" s="482"/>
      <c r="G75" s="542"/>
      <c r="H75" s="462">
        <f>+[18]cashbalances!H38</f>
        <v>0</v>
      </c>
      <c r="I75" s="533"/>
      <c r="J75" s="377"/>
      <c r="K75" s="417"/>
      <c r="L75" s="478"/>
      <c r="M75" s="462">
        <f>+[18]cashbalances!M38</f>
        <v>-34158767.953769997</v>
      </c>
      <c r="N75" s="533"/>
      <c r="O75" s="377"/>
      <c r="P75" s="417"/>
      <c r="Q75" s="478"/>
      <c r="R75" s="462">
        <f>+[18]cashbalances!R38</f>
        <v>665778.1075699823</v>
      </c>
      <c r="S75" s="533"/>
      <c r="T75" s="377"/>
      <c r="U75" s="417"/>
      <c r="V75" s="478"/>
      <c r="W75" s="462">
        <f>+[18]cashbalances!W38</f>
        <v>-3529360.3766400218</v>
      </c>
      <c r="X75" s="533"/>
      <c r="Y75" s="377"/>
      <c r="Z75" s="417"/>
      <c r="AA75" s="478"/>
      <c r="AB75" s="462">
        <f>+[18]cashbalances!AB38</f>
        <v>39129472.039829999</v>
      </c>
      <c r="AC75" s="533"/>
      <c r="AD75" s="377"/>
      <c r="AE75" s="417"/>
      <c r="AF75" s="478"/>
      <c r="AG75" s="462">
        <f>+[18]cashbalances!AG38</f>
        <v>-36409361.543499991</v>
      </c>
      <c r="AH75" s="533"/>
      <c r="AI75" s="377"/>
      <c r="AJ75" s="417"/>
      <c r="AK75" s="478"/>
      <c r="AL75" s="462">
        <f>+[18]cashbalances!AL38</f>
        <v>10350561.970830038</v>
      </c>
      <c r="AM75" s="533"/>
      <c r="AN75" s="377"/>
      <c r="AO75" s="417"/>
      <c r="AP75" s="478"/>
      <c r="AQ75" s="462">
        <f>+[18]cashbalances!AQ38</f>
        <v>0</v>
      </c>
      <c r="AR75" s="533"/>
      <c r="AS75" s="377"/>
      <c r="AT75" s="417"/>
      <c r="AU75" s="478"/>
      <c r="AV75" s="462">
        <f>+[18]cashbalances!AV38</f>
        <v>0</v>
      </c>
      <c r="AW75" s="533"/>
      <c r="AX75" s="377"/>
      <c r="AY75" s="417"/>
      <c r="AZ75" s="478"/>
      <c r="BA75" s="462">
        <f>+[18]cashbalances!BA38</f>
        <v>0</v>
      </c>
      <c r="BB75" s="533"/>
      <c r="BC75" s="377"/>
      <c r="BD75" s="417"/>
      <c r="BE75" s="478"/>
      <c r="BF75" s="462">
        <f>+[18]cashbalances!BF38</f>
        <v>0</v>
      </c>
      <c r="BG75" s="533"/>
      <c r="BH75" s="377"/>
      <c r="BI75" s="417"/>
      <c r="BJ75" s="478"/>
      <c r="BK75" s="462">
        <f>+[18]cashbalances!BK38</f>
        <v>0</v>
      </c>
      <c r="BL75" s="533"/>
      <c r="BM75" s="377"/>
      <c r="BN75" s="417"/>
      <c r="BO75" s="478"/>
      <c r="BP75" s="462">
        <f>+[18]cashbalances!BP38</f>
        <v>0</v>
      </c>
      <c r="BQ75" s="533"/>
      <c r="BR75" s="377"/>
      <c r="BS75" s="417"/>
      <c r="BT75" s="478"/>
      <c r="BU75" s="462">
        <f>+[18]cashbalances!BU38</f>
        <v>-23951677.755679995</v>
      </c>
      <c r="BV75" s="533"/>
      <c r="BW75" s="377"/>
      <c r="BX75" s="465"/>
      <c r="CA75" s="410"/>
      <c r="CB75" s="410" t="e">
        <f>#REF!-#REF!</f>
        <v>#REF!</v>
      </c>
    </row>
    <row r="76" spans="1:80" x14ac:dyDescent="0.2">
      <c r="A76" s="377"/>
      <c r="B76" s="377"/>
      <c r="C76" s="465"/>
      <c r="D76" s="377"/>
      <c r="E76" s="586"/>
      <c r="F76" s="482"/>
      <c r="G76" s="378"/>
      <c r="H76" s="377"/>
      <c r="I76" s="377"/>
      <c r="J76" s="377"/>
      <c r="K76" s="417"/>
      <c r="L76" s="377"/>
      <c r="M76" s="377"/>
      <c r="N76" s="377"/>
      <c r="O76" s="377"/>
      <c r="P76" s="417"/>
      <c r="Q76" s="377"/>
      <c r="R76" s="377"/>
      <c r="S76" s="377"/>
      <c r="T76" s="377"/>
      <c r="U76" s="417"/>
      <c r="V76" s="377"/>
      <c r="W76" s="377"/>
      <c r="X76" s="377"/>
      <c r="Y76" s="377"/>
      <c r="Z76" s="417"/>
      <c r="AA76" s="377"/>
      <c r="AB76" s="377"/>
      <c r="AC76" s="377"/>
      <c r="AD76" s="377"/>
      <c r="AE76" s="417"/>
      <c r="AF76" s="377"/>
      <c r="AG76" s="377"/>
      <c r="AH76" s="377"/>
      <c r="AI76" s="377"/>
      <c r="AJ76" s="417"/>
      <c r="AK76" s="377"/>
      <c r="AL76" s="377"/>
      <c r="AM76" s="377"/>
      <c r="AN76" s="377"/>
      <c r="AO76" s="417"/>
      <c r="AP76" s="377"/>
      <c r="AQ76" s="377"/>
      <c r="AR76" s="377"/>
      <c r="AS76" s="377"/>
      <c r="AT76" s="417"/>
      <c r="AU76" s="377"/>
      <c r="AV76" s="377"/>
      <c r="AW76" s="377"/>
      <c r="AX76" s="377"/>
      <c r="AY76" s="417"/>
      <c r="AZ76" s="377"/>
      <c r="BA76" s="377"/>
      <c r="BB76" s="377"/>
      <c r="BC76" s="377"/>
      <c r="BD76" s="417"/>
      <c r="BE76" s="377"/>
      <c r="BF76" s="377"/>
      <c r="BG76" s="377"/>
      <c r="BH76" s="377"/>
      <c r="BI76" s="417"/>
      <c r="BJ76" s="377"/>
      <c r="BK76" s="377"/>
      <c r="BL76" s="377"/>
      <c r="BM76" s="377"/>
      <c r="BN76" s="417"/>
      <c r="BO76" s="377"/>
      <c r="BP76" s="377"/>
      <c r="BQ76" s="377"/>
      <c r="BR76" s="377"/>
      <c r="BS76" s="417"/>
      <c r="BT76" s="377"/>
      <c r="BU76" s="377"/>
      <c r="BV76" s="377"/>
      <c r="BW76" s="377"/>
      <c r="BX76" s="465"/>
      <c r="CA76" s="410"/>
      <c r="CB76" s="410" t="e">
        <f>#REF!-#REF!</f>
        <v>#REF!</v>
      </c>
    </row>
    <row r="77" spans="1:80" s="410" customFormat="1" x14ac:dyDescent="0.2">
      <c r="A77" s="411"/>
      <c r="B77" s="411"/>
      <c r="C77" s="607" t="s">
        <v>366</v>
      </c>
      <c r="D77" s="608"/>
      <c r="E77" s="587"/>
      <c r="F77" s="458"/>
      <c r="G77" s="609"/>
      <c r="H77" s="457">
        <f>+H13+H23+H44+H67</f>
        <v>709661433.44774151</v>
      </c>
      <c r="I77" s="457"/>
      <c r="J77" s="457"/>
      <c r="K77" s="456"/>
      <c r="L77" s="457"/>
      <c r="M77" s="457">
        <f>+M13+M23+M44+M67</f>
        <v>51156457.046230003</v>
      </c>
      <c r="N77" s="457"/>
      <c r="O77" s="457"/>
      <c r="P77" s="456"/>
      <c r="Q77" s="457"/>
      <c r="R77" s="457">
        <f>+R13+R23+R44+R67</f>
        <v>52369080.107569978</v>
      </c>
      <c r="S77" s="457"/>
      <c r="T77" s="457"/>
      <c r="U77" s="456"/>
      <c r="V77" s="457"/>
      <c r="W77" s="457">
        <f>+W13+W23+W44+W67</f>
        <v>22296182.623359978</v>
      </c>
      <c r="X77" s="457"/>
      <c r="Y77" s="457"/>
      <c r="Z77" s="456"/>
      <c r="AA77" s="457"/>
      <c r="AB77" s="457">
        <f>+AB13+AB23+AB44+AB67</f>
        <v>134529648.03983</v>
      </c>
      <c r="AC77" s="457"/>
      <c r="AD77" s="457"/>
      <c r="AE77" s="456"/>
      <c r="AF77" s="457"/>
      <c r="AG77" s="457">
        <f>+AG13+AG23+AG44+AG67</f>
        <v>63673793.456500009</v>
      </c>
      <c r="AH77" s="457"/>
      <c r="AI77" s="457"/>
      <c r="AJ77" s="456"/>
      <c r="AK77" s="457"/>
      <c r="AL77" s="457">
        <f>+AL13+AL23+AL44+AL67</f>
        <v>42866801.970830038</v>
      </c>
      <c r="AM77" s="457"/>
      <c r="AN77" s="457"/>
      <c r="AO77" s="456"/>
      <c r="AP77" s="457"/>
      <c r="AQ77" s="457">
        <f>+AQ13+AQ23+AQ44+AQ67</f>
        <v>298709835</v>
      </c>
      <c r="AR77" s="457"/>
      <c r="AS77" s="457"/>
      <c r="AT77" s="456"/>
      <c r="AU77" s="457"/>
      <c r="AV77" s="457">
        <f>+AV13+AV23+AV44+AV67</f>
        <v>0</v>
      </c>
      <c r="AW77" s="457"/>
      <c r="AX77" s="457"/>
      <c r="AY77" s="456"/>
      <c r="AZ77" s="457"/>
      <c r="BA77" s="457">
        <f>+BA13+BA23+BA44+BA67</f>
        <v>0</v>
      </c>
      <c r="BB77" s="457"/>
      <c r="BC77" s="457"/>
      <c r="BD77" s="456"/>
      <c r="BE77" s="457"/>
      <c r="BF77" s="457">
        <f>+BF13+BF23+BF44+BF67</f>
        <v>0</v>
      </c>
      <c r="BG77" s="457"/>
      <c r="BH77" s="457"/>
      <c r="BI77" s="456"/>
      <c r="BJ77" s="457"/>
      <c r="BK77" s="457">
        <f>+BK13+BK23+BK44+BK67</f>
        <v>0</v>
      </c>
      <c r="BL77" s="457"/>
      <c r="BM77" s="457"/>
      <c r="BN77" s="456"/>
      <c r="BO77" s="457"/>
      <c r="BP77" s="457">
        <f>+BP13+BP23+BP44+BP67</f>
        <v>0</v>
      </c>
      <c r="BQ77" s="457"/>
      <c r="BR77" s="457"/>
      <c r="BS77" s="456"/>
      <c r="BT77" s="457"/>
      <c r="BU77" s="457">
        <f>+BU13+BU23+BU44+BU67</f>
        <v>366891963.24431998</v>
      </c>
      <c r="BV77" s="457"/>
      <c r="BW77" s="457"/>
      <c r="BX77" s="455"/>
      <c r="BY77" s="411"/>
      <c r="CB77" s="410" t="e">
        <f>#REF!-#REF!</f>
        <v>#REF!</v>
      </c>
    </row>
    <row r="78" spans="1:80" ht="15" customHeight="1" x14ac:dyDescent="0.2">
      <c r="A78" s="377"/>
      <c r="B78" s="377"/>
      <c r="C78" s="610"/>
      <c r="D78" s="504"/>
      <c r="E78" s="504"/>
      <c r="F78" s="504"/>
      <c r="G78" s="504"/>
      <c r="H78" s="504"/>
      <c r="I78" s="504"/>
      <c r="J78" s="504"/>
      <c r="K78" s="504"/>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c r="BP78" s="504"/>
      <c r="BQ78" s="504"/>
      <c r="BR78" s="504"/>
      <c r="BS78" s="504"/>
      <c r="BT78" s="504"/>
      <c r="BU78" s="504"/>
      <c r="BV78" s="504"/>
      <c r="BW78" s="504"/>
      <c r="BX78" s="377"/>
      <c r="CB78" s="410" t="e">
        <f>#REF!-#REF!</f>
        <v>#REF!</v>
      </c>
    </row>
    <row r="79" spans="1:80" ht="5.25" customHeight="1" x14ac:dyDescent="0.2">
      <c r="A79" s="377"/>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377"/>
      <c r="BP79" s="377"/>
      <c r="BQ79" s="377"/>
      <c r="BR79" s="377"/>
      <c r="BS79" s="377"/>
      <c r="BT79" s="377"/>
      <c r="BU79" s="377"/>
      <c r="BV79" s="377"/>
      <c r="BW79" s="377"/>
      <c r="BX79" s="377"/>
    </row>
    <row r="80" spans="1:80" ht="15" customHeight="1" x14ac:dyDescent="0.2">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7"/>
      <c r="AY80" s="377"/>
      <c r="AZ80" s="377"/>
      <c r="BA80" s="377"/>
      <c r="BB80" s="377"/>
      <c r="BC80" s="377"/>
      <c r="BD80" s="377"/>
      <c r="BE80" s="377"/>
      <c r="BF80" s="377"/>
      <c r="BG80" s="377"/>
      <c r="BH80" s="377"/>
      <c r="BI80" s="377"/>
      <c r="BJ80" s="377"/>
      <c r="BK80" s="377"/>
      <c r="BL80" s="377"/>
      <c r="BM80" s="377"/>
      <c r="BN80" s="377"/>
      <c r="BO80" s="377"/>
      <c r="BP80" s="377"/>
      <c r="BQ80" s="377"/>
      <c r="BR80" s="377"/>
      <c r="BS80" s="377"/>
      <c r="BT80" s="377"/>
      <c r="BU80" s="377"/>
      <c r="BV80" s="377"/>
      <c r="BW80" s="377"/>
      <c r="BX80" s="377"/>
    </row>
    <row r="81" spans="2:77" s="611" customFormat="1" ht="15" hidden="1" customHeight="1" x14ac:dyDescent="0.2">
      <c r="B81" s="612"/>
      <c r="D81" s="613"/>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4"/>
      <c r="AM81" s="612"/>
      <c r="AN81" s="612"/>
      <c r="AO81" s="612"/>
      <c r="AP81" s="612"/>
      <c r="AQ81" s="612"/>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2"/>
      <c r="BU81" s="612"/>
      <c r="BV81" s="612"/>
      <c r="BW81" s="411" t="e">
        <f>+BW82+BW89</f>
        <v>#REF!</v>
      </c>
      <c r="BX81" s="612"/>
      <c r="BY81" s="612"/>
    </row>
    <row r="82" spans="2:77" s="611" customFormat="1" ht="15" hidden="1" customHeight="1" x14ac:dyDescent="0.2">
      <c r="B82" s="612"/>
      <c r="C82" s="615"/>
      <c r="D82" s="613"/>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612"/>
      <c r="BF82" s="612"/>
      <c r="BG82" s="612"/>
      <c r="BH82" s="612"/>
      <c r="BI82" s="612"/>
      <c r="BJ82" s="612"/>
      <c r="BK82" s="612"/>
      <c r="BL82" s="612"/>
      <c r="BM82" s="612"/>
      <c r="BN82" s="612"/>
      <c r="BO82" s="612"/>
      <c r="BP82" s="612"/>
      <c r="BQ82" s="612"/>
      <c r="BR82" s="612"/>
      <c r="BS82" s="612"/>
      <c r="BT82" s="612"/>
      <c r="BU82" s="612"/>
      <c r="BV82" s="612"/>
      <c r="BW82" s="377" t="e">
        <f>SUM(BW83:BW87)</f>
        <v>#REF!</v>
      </c>
      <c r="BX82" s="612"/>
      <c r="BY82" s="612"/>
    </row>
    <row r="83" spans="2:77" ht="15" hidden="1" customHeight="1" x14ac:dyDescent="0.2">
      <c r="B83" s="377"/>
      <c r="C83" s="377"/>
      <c r="D83" s="377"/>
      <c r="E83" s="377"/>
      <c r="F83" s="377"/>
      <c r="G83" s="377"/>
      <c r="H83" s="377"/>
      <c r="I83" s="377"/>
      <c r="J83" s="377"/>
      <c r="K83" s="377"/>
      <c r="L83" s="377"/>
      <c r="M83" s="377" t="e">
        <f>M13-#REF!</f>
        <v>#REF!</v>
      </c>
      <c r="N83" s="377" t="e">
        <f>N13-#REF!</f>
        <v>#REF!</v>
      </c>
      <c r="O83" s="377" t="e">
        <f>O13-#REF!</f>
        <v>#REF!</v>
      </c>
      <c r="P83" s="377" t="e">
        <f>P13-#REF!</f>
        <v>#REF!</v>
      </c>
      <c r="Q83" s="377" t="e">
        <f>Q13-#REF!</f>
        <v>#REF!</v>
      </c>
      <c r="R83" s="377" t="e">
        <f>R13-#REF!</f>
        <v>#REF!</v>
      </c>
      <c r="S83" s="377" t="e">
        <f>S13-#REF!</f>
        <v>#REF!</v>
      </c>
      <c r="T83" s="377" t="e">
        <f>T13-#REF!</f>
        <v>#REF!</v>
      </c>
      <c r="U83" s="377" t="e">
        <f>U13-#REF!</f>
        <v>#REF!</v>
      </c>
      <c r="V83" s="377" t="e">
        <f>V13-#REF!</f>
        <v>#REF!</v>
      </c>
      <c r="W83" s="377" t="e">
        <f>W13-#REF!</f>
        <v>#REF!</v>
      </c>
      <c r="X83" s="377" t="e">
        <f>X13-#REF!</f>
        <v>#REF!</v>
      </c>
      <c r="Y83" s="377" t="e">
        <f>Y13-#REF!</f>
        <v>#REF!</v>
      </c>
      <c r="Z83" s="377" t="e">
        <f>Z13-#REF!</f>
        <v>#REF!</v>
      </c>
      <c r="AA83" s="377" t="e">
        <f>AA13-#REF!</f>
        <v>#REF!</v>
      </c>
      <c r="AB83" s="377" t="e">
        <f>AB13-#REF!</f>
        <v>#REF!</v>
      </c>
      <c r="AC83" s="377" t="e">
        <f>AC13-#REF!</f>
        <v>#REF!</v>
      </c>
      <c r="AD83" s="377" t="e">
        <f>AD13-#REF!</f>
        <v>#REF!</v>
      </c>
      <c r="AE83" s="377" t="e">
        <f>AE13-#REF!</f>
        <v>#REF!</v>
      </c>
      <c r="AF83" s="377" t="e">
        <f>AF13-#REF!</f>
        <v>#REF!</v>
      </c>
      <c r="AG83" s="377" t="e">
        <f>AG13-#REF!</f>
        <v>#REF!</v>
      </c>
      <c r="AH83" s="377" t="e">
        <f>AH13-#REF!</f>
        <v>#REF!</v>
      </c>
      <c r="AI83" s="377" t="e">
        <f>AI13-#REF!</f>
        <v>#REF!</v>
      </c>
      <c r="AJ83" s="377" t="e">
        <f>AJ13-#REF!</f>
        <v>#REF!</v>
      </c>
      <c r="AK83" s="377" t="e">
        <f>AK13-#REF!</f>
        <v>#REF!</v>
      </c>
      <c r="AL83" s="377" t="e">
        <f>AL13-#REF!</f>
        <v>#REF!</v>
      </c>
      <c r="AM83" s="377" t="e">
        <f>AM13-#REF!</f>
        <v>#REF!</v>
      </c>
      <c r="AN83" s="377" t="e">
        <f>AN13-#REF!</f>
        <v>#REF!</v>
      </c>
      <c r="AO83" s="377" t="e">
        <f>AO13-#REF!</f>
        <v>#REF!</v>
      </c>
      <c r="AP83" s="377" t="e">
        <f>AP13-#REF!</f>
        <v>#REF!</v>
      </c>
      <c r="AQ83" s="377" t="e">
        <f>AQ13-#REF!</f>
        <v>#REF!</v>
      </c>
      <c r="AR83" s="377" t="e">
        <f>AR13-#REF!</f>
        <v>#REF!</v>
      </c>
      <c r="AS83" s="377" t="e">
        <f>AS13-#REF!</f>
        <v>#REF!</v>
      </c>
      <c r="AT83" s="377" t="e">
        <f>AT13-#REF!</f>
        <v>#REF!</v>
      </c>
      <c r="AU83" s="377" t="e">
        <f>AU13-#REF!</f>
        <v>#REF!</v>
      </c>
      <c r="AV83" s="377" t="e">
        <f>AV13-#REF!</f>
        <v>#REF!</v>
      </c>
      <c r="AW83" s="377" t="e">
        <f>AW13-#REF!</f>
        <v>#REF!</v>
      </c>
      <c r="AX83" s="377" t="e">
        <f>AX13-#REF!</f>
        <v>#REF!</v>
      </c>
      <c r="AY83" s="377" t="e">
        <f>AY13-#REF!</f>
        <v>#REF!</v>
      </c>
      <c r="AZ83" s="377" t="e">
        <f>AZ13-#REF!</f>
        <v>#REF!</v>
      </c>
      <c r="BA83" s="377" t="e">
        <f>BA13-#REF!</f>
        <v>#REF!</v>
      </c>
      <c r="BB83" s="377" t="e">
        <f>BB13-#REF!</f>
        <v>#REF!</v>
      </c>
      <c r="BC83" s="377" t="e">
        <f>BC13-#REF!</f>
        <v>#REF!</v>
      </c>
      <c r="BD83" s="377" t="e">
        <f>BD13-#REF!</f>
        <v>#REF!</v>
      </c>
      <c r="BE83" s="377" t="e">
        <f>BE13-#REF!</f>
        <v>#REF!</v>
      </c>
      <c r="BF83" s="377" t="e">
        <f>BF13-#REF!</f>
        <v>#REF!</v>
      </c>
      <c r="BG83" s="377" t="e">
        <f>BG13-#REF!</f>
        <v>#REF!</v>
      </c>
      <c r="BH83" s="377" t="e">
        <f>BH13-#REF!</f>
        <v>#REF!</v>
      </c>
      <c r="BI83" s="377" t="e">
        <f>BI13-#REF!</f>
        <v>#REF!</v>
      </c>
      <c r="BJ83" s="377" t="e">
        <f>BJ13-#REF!</f>
        <v>#REF!</v>
      </c>
      <c r="BK83" s="377" t="e">
        <f>BK13-#REF!</f>
        <v>#REF!</v>
      </c>
      <c r="BL83" s="377" t="e">
        <f>BL13-#REF!</f>
        <v>#REF!</v>
      </c>
      <c r="BM83" s="377" t="e">
        <f>BM13-#REF!</f>
        <v>#REF!</v>
      </c>
      <c r="BN83" s="377" t="e">
        <f>BN13-#REF!</f>
        <v>#REF!</v>
      </c>
      <c r="BO83" s="377" t="e">
        <f>BO13-#REF!</f>
        <v>#REF!</v>
      </c>
      <c r="BP83" s="377" t="e">
        <f>BP13-#REF!</f>
        <v>#REF!</v>
      </c>
      <c r="BQ83" s="377" t="e">
        <f>BQ13-#REF!</f>
        <v>#REF!</v>
      </c>
      <c r="BR83" s="377" t="e">
        <f>BR13-#REF!</f>
        <v>#REF!</v>
      </c>
      <c r="BS83" s="377" t="e">
        <f>BS13-#REF!</f>
        <v>#REF!</v>
      </c>
      <c r="BT83" s="377" t="e">
        <f>BT13-#REF!</f>
        <v>#REF!</v>
      </c>
      <c r="BU83" s="377" t="e">
        <f>BU13-#REF!</f>
        <v>#REF!</v>
      </c>
      <c r="BV83" s="377"/>
      <c r="BW83" s="377" t="e">
        <f>SUM(O83:BR83)</f>
        <v>#REF!</v>
      </c>
      <c r="BX83" s="377"/>
    </row>
    <row r="84" spans="2:77" ht="15" hidden="1" customHeight="1" x14ac:dyDescent="0.2">
      <c r="B84" s="377"/>
      <c r="C84" s="616"/>
      <c r="D84" s="377"/>
      <c r="E84" s="377"/>
      <c r="F84" s="377"/>
      <c r="G84" s="377"/>
      <c r="H84" s="617"/>
      <c r="I84" s="377"/>
      <c r="J84" s="377"/>
      <c r="K84" s="377"/>
      <c r="L84" s="377"/>
      <c r="M84" s="377" t="e">
        <f>M14-#REF!</f>
        <v>#REF!</v>
      </c>
      <c r="N84" s="377" t="e">
        <f>N14-#REF!</f>
        <v>#REF!</v>
      </c>
      <c r="O84" s="377" t="e">
        <f>O14-#REF!</f>
        <v>#REF!</v>
      </c>
      <c r="P84" s="377" t="e">
        <f>P14-#REF!</f>
        <v>#REF!</v>
      </c>
      <c r="Q84" s="377" t="e">
        <f>Q14-#REF!</f>
        <v>#REF!</v>
      </c>
      <c r="R84" s="377" t="e">
        <f>R14-#REF!</f>
        <v>#REF!</v>
      </c>
      <c r="S84" s="377" t="e">
        <f>S14-#REF!</f>
        <v>#REF!</v>
      </c>
      <c r="T84" s="377" t="e">
        <f>T14-#REF!</f>
        <v>#REF!</v>
      </c>
      <c r="U84" s="377" t="e">
        <f>U14-#REF!</f>
        <v>#REF!</v>
      </c>
      <c r="V84" s="377" t="e">
        <f>V14-#REF!</f>
        <v>#REF!</v>
      </c>
      <c r="W84" s="377" t="e">
        <f>W14-#REF!</f>
        <v>#REF!</v>
      </c>
      <c r="X84" s="377" t="e">
        <f>X14-#REF!</f>
        <v>#REF!</v>
      </c>
      <c r="Y84" s="377" t="e">
        <f>Y14-#REF!</f>
        <v>#REF!</v>
      </c>
      <c r="Z84" s="377" t="e">
        <f>Z14-#REF!</f>
        <v>#REF!</v>
      </c>
      <c r="AA84" s="377" t="e">
        <f>AA14-#REF!</f>
        <v>#REF!</v>
      </c>
      <c r="AB84" s="377" t="e">
        <f>AB14-#REF!</f>
        <v>#REF!</v>
      </c>
      <c r="AC84" s="377" t="e">
        <f>AC14-#REF!</f>
        <v>#REF!</v>
      </c>
      <c r="AD84" s="377" t="e">
        <f>AD14-#REF!</f>
        <v>#REF!</v>
      </c>
      <c r="AE84" s="377" t="e">
        <f>AE14-#REF!</f>
        <v>#REF!</v>
      </c>
      <c r="AF84" s="377" t="e">
        <f>AF14-#REF!</f>
        <v>#REF!</v>
      </c>
      <c r="AG84" s="377" t="e">
        <f>AG14-#REF!</f>
        <v>#REF!</v>
      </c>
      <c r="AH84" s="377" t="e">
        <f>AH14-#REF!</f>
        <v>#REF!</v>
      </c>
      <c r="AI84" s="377" t="e">
        <f>AI14-#REF!</f>
        <v>#REF!</v>
      </c>
      <c r="AJ84" s="377" t="e">
        <f>AJ14-#REF!</f>
        <v>#REF!</v>
      </c>
      <c r="AK84" s="377" t="e">
        <f>AK14-#REF!</f>
        <v>#REF!</v>
      </c>
      <c r="AL84" s="377" t="e">
        <f>AL14-#REF!</f>
        <v>#REF!</v>
      </c>
      <c r="AM84" s="377" t="e">
        <f>AM14-#REF!</f>
        <v>#REF!</v>
      </c>
      <c r="AN84" s="377" t="e">
        <f>AN14-#REF!</f>
        <v>#REF!</v>
      </c>
      <c r="AO84" s="377" t="e">
        <f>AO14-#REF!</f>
        <v>#REF!</v>
      </c>
      <c r="AP84" s="377" t="e">
        <f>AP14-#REF!</f>
        <v>#REF!</v>
      </c>
      <c r="AQ84" s="377" t="e">
        <f>AQ14-#REF!</f>
        <v>#REF!</v>
      </c>
      <c r="AR84" s="377" t="e">
        <f>AR14-#REF!</f>
        <v>#REF!</v>
      </c>
      <c r="AS84" s="377" t="e">
        <f>AS14-#REF!</f>
        <v>#REF!</v>
      </c>
      <c r="AT84" s="377" t="e">
        <f>AT14-#REF!</f>
        <v>#REF!</v>
      </c>
      <c r="AU84" s="377" t="e">
        <f>AU14-#REF!</f>
        <v>#REF!</v>
      </c>
      <c r="AV84" s="377" t="e">
        <f>AV14-#REF!</f>
        <v>#REF!</v>
      </c>
      <c r="AW84" s="377" t="e">
        <f>AW14-#REF!</f>
        <v>#REF!</v>
      </c>
      <c r="AX84" s="377" t="e">
        <f>AX14-#REF!</f>
        <v>#REF!</v>
      </c>
      <c r="AY84" s="377" t="e">
        <f>AY14-#REF!</f>
        <v>#REF!</v>
      </c>
      <c r="AZ84" s="377" t="e">
        <f>AZ14-#REF!</f>
        <v>#REF!</v>
      </c>
      <c r="BA84" s="377" t="e">
        <f>BA14-#REF!</f>
        <v>#REF!</v>
      </c>
      <c r="BB84" s="377" t="e">
        <f>BB14-#REF!</f>
        <v>#REF!</v>
      </c>
      <c r="BC84" s="377" t="e">
        <f>BC14-#REF!</f>
        <v>#REF!</v>
      </c>
      <c r="BD84" s="377" t="e">
        <f>BD14-#REF!</f>
        <v>#REF!</v>
      </c>
      <c r="BE84" s="377" t="e">
        <f>BE14-#REF!</f>
        <v>#REF!</v>
      </c>
      <c r="BF84" s="377" t="e">
        <f>BF14-#REF!</f>
        <v>#REF!</v>
      </c>
      <c r="BG84" s="377" t="e">
        <f>BG14-#REF!</f>
        <v>#REF!</v>
      </c>
      <c r="BH84" s="377" t="e">
        <f>BH14-#REF!</f>
        <v>#REF!</v>
      </c>
      <c r="BI84" s="377" t="e">
        <f>BI14-#REF!</f>
        <v>#REF!</v>
      </c>
      <c r="BJ84" s="377" t="e">
        <f>BJ14-#REF!</f>
        <v>#REF!</v>
      </c>
      <c r="BK84" s="377" t="e">
        <f>BK14-#REF!</f>
        <v>#REF!</v>
      </c>
      <c r="BL84" s="377" t="e">
        <f>BL14-#REF!</f>
        <v>#REF!</v>
      </c>
      <c r="BM84" s="377" t="e">
        <f>BM14-#REF!</f>
        <v>#REF!</v>
      </c>
      <c r="BN84" s="377" t="e">
        <f>BN14-#REF!</f>
        <v>#REF!</v>
      </c>
      <c r="BO84" s="377" t="e">
        <f>BO14-#REF!</f>
        <v>#REF!</v>
      </c>
      <c r="BP84" s="377" t="e">
        <f>BP14-#REF!</f>
        <v>#REF!</v>
      </c>
      <c r="BQ84" s="377" t="e">
        <f>BQ14-#REF!</f>
        <v>#REF!</v>
      </c>
      <c r="BR84" s="377" t="e">
        <f>BR14-#REF!</f>
        <v>#REF!</v>
      </c>
      <c r="BS84" s="377" t="e">
        <f>BS14-#REF!</f>
        <v>#REF!</v>
      </c>
      <c r="BT84" s="377" t="e">
        <f>BT14-#REF!</f>
        <v>#REF!</v>
      </c>
      <c r="BU84" s="377" t="e">
        <f>BU14-#REF!</f>
        <v>#REF!</v>
      </c>
      <c r="BV84" s="377"/>
      <c r="BW84" s="377" t="e">
        <f>SUM(O84:BR84)</f>
        <v>#REF!</v>
      </c>
      <c r="BX84" s="377"/>
    </row>
    <row r="85" spans="2:77" ht="15" hidden="1" customHeight="1" x14ac:dyDescent="0.2">
      <c r="B85" s="377"/>
      <c r="C85" s="377"/>
      <c r="D85" s="377"/>
      <c r="E85" s="377"/>
      <c r="F85" s="377"/>
      <c r="G85" s="377"/>
      <c r="H85" s="377"/>
      <c r="I85" s="377"/>
      <c r="J85" s="377"/>
      <c r="K85" s="377"/>
      <c r="L85" s="377"/>
      <c r="M85" s="377" t="e">
        <f>M15-#REF!</f>
        <v>#REF!</v>
      </c>
      <c r="N85" s="377" t="e">
        <f>N15-#REF!</f>
        <v>#REF!</v>
      </c>
      <c r="O85" s="377" t="e">
        <f>O15-#REF!</f>
        <v>#REF!</v>
      </c>
      <c r="P85" s="377" t="e">
        <f>P15-#REF!</f>
        <v>#REF!</v>
      </c>
      <c r="Q85" s="377" t="e">
        <f>Q15-#REF!</f>
        <v>#REF!</v>
      </c>
      <c r="R85" s="377" t="e">
        <f>R15-#REF!</f>
        <v>#REF!</v>
      </c>
      <c r="S85" s="377" t="e">
        <f>S15-#REF!</f>
        <v>#REF!</v>
      </c>
      <c r="T85" s="377" t="e">
        <f>T15-#REF!</f>
        <v>#REF!</v>
      </c>
      <c r="U85" s="377" t="e">
        <f>U15-#REF!</f>
        <v>#REF!</v>
      </c>
      <c r="V85" s="377" t="e">
        <f>V15-#REF!</f>
        <v>#REF!</v>
      </c>
      <c r="W85" s="377" t="e">
        <f>W15-#REF!</f>
        <v>#REF!</v>
      </c>
      <c r="X85" s="377" t="e">
        <f>X15-#REF!</f>
        <v>#REF!</v>
      </c>
      <c r="Y85" s="377" t="e">
        <f>Y15-#REF!</f>
        <v>#REF!</v>
      </c>
      <c r="Z85" s="377" t="e">
        <f>Z15-#REF!</f>
        <v>#REF!</v>
      </c>
      <c r="AA85" s="377" t="e">
        <f>AA15-#REF!</f>
        <v>#REF!</v>
      </c>
      <c r="AB85" s="377" t="e">
        <f>AB15-#REF!</f>
        <v>#REF!</v>
      </c>
      <c r="AC85" s="377" t="e">
        <f>AC15-#REF!</f>
        <v>#REF!</v>
      </c>
      <c r="AD85" s="377" t="e">
        <f>AD15-#REF!</f>
        <v>#REF!</v>
      </c>
      <c r="AE85" s="377" t="e">
        <f>AE15-#REF!</f>
        <v>#REF!</v>
      </c>
      <c r="AF85" s="377" t="e">
        <f>AF15-#REF!</f>
        <v>#REF!</v>
      </c>
      <c r="AG85" s="377" t="e">
        <f>AG15-#REF!</f>
        <v>#REF!</v>
      </c>
      <c r="AH85" s="377" t="e">
        <f>AH15-#REF!</f>
        <v>#REF!</v>
      </c>
      <c r="AI85" s="377" t="e">
        <f>AI15-#REF!</f>
        <v>#REF!</v>
      </c>
      <c r="AJ85" s="377" t="e">
        <f>AJ15-#REF!</f>
        <v>#REF!</v>
      </c>
      <c r="AK85" s="377" t="e">
        <f>AK15-#REF!</f>
        <v>#REF!</v>
      </c>
      <c r="AL85" s="377" t="e">
        <f>AL15-#REF!</f>
        <v>#REF!</v>
      </c>
      <c r="AM85" s="377" t="e">
        <f>AM15-#REF!</f>
        <v>#REF!</v>
      </c>
      <c r="AN85" s="377" t="e">
        <f>AN15-#REF!</f>
        <v>#REF!</v>
      </c>
      <c r="AO85" s="377" t="e">
        <f>AO15-#REF!</f>
        <v>#REF!</v>
      </c>
      <c r="AP85" s="377" t="e">
        <f>AP15-#REF!</f>
        <v>#REF!</v>
      </c>
      <c r="AQ85" s="377" t="e">
        <f>AQ15-#REF!</f>
        <v>#REF!</v>
      </c>
      <c r="AR85" s="377" t="e">
        <f>AR15-#REF!</f>
        <v>#REF!</v>
      </c>
      <c r="AS85" s="377" t="e">
        <f>AS15-#REF!</f>
        <v>#REF!</v>
      </c>
      <c r="AT85" s="377" t="e">
        <f>AT15-#REF!</f>
        <v>#REF!</v>
      </c>
      <c r="AU85" s="377" t="e">
        <f>AU15-#REF!</f>
        <v>#REF!</v>
      </c>
      <c r="AV85" s="377" t="e">
        <f>AV15-#REF!</f>
        <v>#REF!</v>
      </c>
      <c r="AW85" s="377" t="e">
        <f>AW15-#REF!</f>
        <v>#REF!</v>
      </c>
      <c r="AX85" s="377" t="e">
        <f>AX15-#REF!</f>
        <v>#REF!</v>
      </c>
      <c r="AY85" s="377" t="e">
        <f>AY15-#REF!</f>
        <v>#REF!</v>
      </c>
      <c r="AZ85" s="377" t="e">
        <f>AZ15-#REF!</f>
        <v>#REF!</v>
      </c>
      <c r="BA85" s="377" t="e">
        <f>BA15-#REF!</f>
        <v>#REF!</v>
      </c>
      <c r="BB85" s="377" t="e">
        <f>BB15-#REF!</f>
        <v>#REF!</v>
      </c>
      <c r="BC85" s="377" t="e">
        <f>BC15-#REF!</f>
        <v>#REF!</v>
      </c>
      <c r="BD85" s="377" t="e">
        <f>BD15-#REF!</f>
        <v>#REF!</v>
      </c>
      <c r="BE85" s="377" t="e">
        <f>BE15-#REF!</f>
        <v>#REF!</v>
      </c>
      <c r="BF85" s="377" t="e">
        <f>BF15-#REF!</f>
        <v>#REF!</v>
      </c>
      <c r="BG85" s="377" t="e">
        <f>BG15-#REF!</f>
        <v>#REF!</v>
      </c>
      <c r="BH85" s="377" t="e">
        <f>BH15-#REF!</f>
        <v>#REF!</v>
      </c>
      <c r="BI85" s="377" t="e">
        <f>BI15-#REF!</f>
        <v>#REF!</v>
      </c>
      <c r="BJ85" s="377" t="e">
        <f>BJ15-#REF!</f>
        <v>#REF!</v>
      </c>
      <c r="BK85" s="377" t="e">
        <f>BK15-#REF!</f>
        <v>#REF!</v>
      </c>
      <c r="BL85" s="377" t="e">
        <f>BL15-#REF!</f>
        <v>#REF!</v>
      </c>
      <c r="BM85" s="377" t="e">
        <f>BM15-#REF!</f>
        <v>#REF!</v>
      </c>
      <c r="BN85" s="377" t="e">
        <f>BN15-#REF!</f>
        <v>#REF!</v>
      </c>
      <c r="BO85" s="377" t="e">
        <f>BO15-#REF!</f>
        <v>#REF!</v>
      </c>
      <c r="BP85" s="377" t="e">
        <f>BP15-#REF!</f>
        <v>#REF!</v>
      </c>
      <c r="BQ85" s="377" t="e">
        <f>BQ15-#REF!</f>
        <v>#REF!</v>
      </c>
      <c r="BR85" s="377" t="e">
        <f>BR15-#REF!</f>
        <v>#REF!</v>
      </c>
      <c r="BS85" s="377" t="e">
        <f>BS15-#REF!</f>
        <v>#REF!</v>
      </c>
      <c r="BT85" s="377" t="e">
        <f>BT15-#REF!</f>
        <v>#REF!</v>
      </c>
      <c r="BU85" s="377" t="e">
        <f>BU15-#REF!</f>
        <v>#REF!</v>
      </c>
      <c r="BV85" s="377"/>
      <c r="BW85" s="377" t="e">
        <f>SUM(O85:BR85)</f>
        <v>#REF!</v>
      </c>
      <c r="BX85" s="377"/>
    </row>
    <row r="86" spans="2:77" ht="15" hidden="1" customHeight="1" x14ac:dyDescent="0.2">
      <c r="B86" s="377"/>
      <c r="C86" s="377"/>
      <c r="D86" s="377"/>
      <c r="E86" s="377"/>
      <c r="F86" s="377"/>
      <c r="G86" s="377"/>
      <c r="H86" s="377"/>
      <c r="I86" s="377"/>
      <c r="J86" s="377"/>
      <c r="K86" s="377"/>
      <c r="L86" s="377"/>
      <c r="M86" s="377" t="e">
        <f>M16-#REF!</f>
        <v>#REF!</v>
      </c>
      <c r="N86" s="377" t="e">
        <f>N16-#REF!</f>
        <v>#REF!</v>
      </c>
      <c r="O86" s="377" t="e">
        <f>O16-#REF!</f>
        <v>#REF!</v>
      </c>
      <c r="P86" s="377" t="e">
        <f>P16-#REF!</f>
        <v>#REF!</v>
      </c>
      <c r="Q86" s="377" t="e">
        <f>Q16-#REF!</f>
        <v>#REF!</v>
      </c>
      <c r="R86" s="377" t="e">
        <f>R16-#REF!</f>
        <v>#REF!</v>
      </c>
      <c r="S86" s="377" t="e">
        <f>S16-#REF!</f>
        <v>#REF!</v>
      </c>
      <c r="T86" s="377" t="e">
        <f>T16-#REF!</f>
        <v>#REF!</v>
      </c>
      <c r="U86" s="377" t="e">
        <f>U16-#REF!</f>
        <v>#REF!</v>
      </c>
      <c r="V86" s="377" t="e">
        <f>V16-#REF!</f>
        <v>#REF!</v>
      </c>
      <c r="W86" s="377" t="e">
        <f>W16-#REF!</f>
        <v>#REF!</v>
      </c>
      <c r="X86" s="377" t="e">
        <f>X16-#REF!</f>
        <v>#REF!</v>
      </c>
      <c r="Y86" s="377" t="e">
        <f>Y16-#REF!</f>
        <v>#REF!</v>
      </c>
      <c r="Z86" s="377" t="e">
        <f>Z16-#REF!</f>
        <v>#REF!</v>
      </c>
      <c r="AA86" s="377" t="e">
        <f>AA16-#REF!</f>
        <v>#REF!</v>
      </c>
      <c r="AB86" s="377" t="e">
        <f>AB16-#REF!</f>
        <v>#REF!</v>
      </c>
      <c r="AC86" s="377" t="e">
        <f>AC16-#REF!</f>
        <v>#REF!</v>
      </c>
      <c r="AD86" s="377" t="e">
        <f>AD16-#REF!</f>
        <v>#REF!</v>
      </c>
      <c r="AE86" s="377" t="e">
        <f>AE16-#REF!</f>
        <v>#REF!</v>
      </c>
      <c r="AF86" s="377" t="e">
        <f>AF16-#REF!</f>
        <v>#REF!</v>
      </c>
      <c r="AG86" s="377" t="e">
        <f>AG16-#REF!</f>
        <v>#REF!</v>
      </c>
      <c r="AH86" s="377" t="e">
        <f>AH16-#REF!</f>
        <v>#REF!</v>
      </c>
      <c r="AI86" s="377" t="e">
        <f>AI16-#REF!</f>
        <v>#REF!</v>
      </c>
      <c r="AJ86" s="377" t="e">
        <f>AJ16-#REF!</f>
        <v>#REF!</v>
      </c>
      <c r="AK86" s="377" t="e">
        <f>AK16-#REF!</f>
        <v>#REF!</v>
      </c>
      <c r="AL86" s="377" t="e">
        <f>AL16-#REF!</f>
        <v>#REF!</v>
      </c>
      <c r="AM86" s="377" t="e">
        <f>AM16-#REF!</f>
        <v>#REF!</v>
      </c>
      <c r="AN86" s="377" t="e">
        <f>AN16-#REF!</f>
        <v>#REF!</v>
      </c>
      <c r="AO86" s="377" t="e">
        <f>AO16-#REF!</f>
        <v>#REF!</v>
      </c>
      <c r="AP86" s="377" t="e">
        <f>AP16-#REF!</f>
        <v>#REF!</v>
      </c>
      <c r="AQ86" s="377" t="e">
        <f>AQ16-#REF!</f>
        <v>#REF!</v>
      </c>
      <c r="AR86" s="377" t="e">
        <f>AR16-#REF!</f>
        <v>#REF!</v>
      </c>
      <c r="AS86" s="377" t="e">
        <f>AS16-#REF!</f>
        <v>#REF!</v>
      </c>
      <c r="AT86" s="377" t="e">
        <f>AT16-#REF!</f>
        <v>#REF!</v>
      </c>
      <c r="AU86" s="377" t="e">
        <f>AU16-#REF!</f>
        <v>#REF!</v>
      </c>
      <c r="AV86" s="377" t="e">
        <f>AV16-#REF!</f>
        <v>#REF!</v>
      </c>
      <c r="AW86" s="377" t="e">
        <f>AW16-#REF!</f>
        <v>#REF!</v>
      </c>
      <c r="AX86" s="377" t="e">
        <f>AX16-#REF!</f>
        <v>#REF!</v>
      </c>
      <c r="AY86" s="377" t="e">
        <f>AY16-#REF!</f>
        <v>#REF!</v>
      </c>
      <c r="AZ86" s="377" t="e">
        <f>AZ16-#REF!</f>
        <v>#REF!</v>
      </c>
      <c r="BA86" s="377" t="e">
        <f>BA16-#REF!</f>
        <v>#REF!</v>
      </c>
      <c r="BB86" s="377" t="e">
        <f>BB16-#REF!</f>
        <v>#REF!</v>
      </c>
      <c r="BC86" s="377" t="e">
        <f>BC16-#REF!</f>
        <v>#REF!</v>
      </c>
      <c r="BD86" s="377" t="e">
        <f>BD16-#REF!</f>
        <v>#REF!</v>
      </c>
      <c r="BE86" s="377" t="e">
        <f>BE16-#REF!</f>
        <v>#REF!</v>
      </c>
      <c r="BF86" s="377" t="e">
        <f>BF16-#REF!</f>
        <v>#REF!</v>
      </c>
      <c r="BG86" s="377" t="e">
        <f>BG16-#REF!</f>
        <v>#REF!</v>
      </c>
      <c r="BH86" s="377" t="e">
        <f>BH16-#REF!</f>
        <v>#REF!</v>
      </c>
      <c r="BI86" s="377" t="e">
        <f>BI16-#REF!</f>
        <v>#REF!</v>
      </c>
      <c r="BJ86" s="377" t="e">
        <f>BJ16-#REF!</f>
        <v>#REF!</v>
      </c>
      <c r="BK86" s="377" t="e">
        <f>BK16-#REF!</f>
        <v>#REF!</v>
      </c>
      <c r="BL86" s="377" t="e">
        <f>BL16-#REF!</f>
        <v>#REF!</v>
      </c>
      <c r="BM86" s="377" t="e">
        <f>BM16-#REF!</f>
        <v>#REF!</v>
      </c>
      <c r="BN86" s="377" t="e">
        <f>BN16-#REF!</f>
        <v>#REF!</v>
      </c>
      <c r="BO86" s="377" t="e">
        <f>BO16-#REF!</f>
        <v>#REF!</v>
      </c>
      <c r="BP86" s="377" t="e">
        <f>BP16-#REF!</f>
        <v>#REF!</v>
      </c>
      <c r="BQ86" s="377" t="e">
        <f>BQ16-#REF!</f>
        <v>#REF!</v>
      </c>
      <c r="BR86" s="377" t="e">
        <f>BR16-#REF!</f>
        <v>#REF!</v>
      </c>
      <c r="BS86" s="377" t="e">
        <f>BS16-#REF!</f>
        <v>#REF!</v>
      </c>
      <c r="BT86" s="377" t="e">
        <f>BT16-#REF!</f>
        <v>#REF!</v>
      </c>
      <c r="BU86" s="377" t="e">
        <f>BU16-#REF!</f>
        <v>#REF!</v>
      </c>
      <c r="BV86" s="377"/>
      <c r="BW86" s="377"/>
      <c r="BX86" s="377"/>
    </row>
    <row r="87" spans="2:77" ht="15" hidden="1" customHeight="1" x14ac:dyDescent="0.2">
      <c r="B87" s="377"/>
      <c r="C87" s="377"/>
      <c r="D87" s="377"/>
      <c r="E87" s="377"/>
      <c r="F87" s="377"/>
      <c r="G87" s="377"/>
      <c r="H87" s="377"/>
      <c r="I87" s="377"/>
      <c r="J87" s="377"/>
      <c r="K87" s="377"/>
      <c r="L87" s="377"/>
      <c r="M87" s="377" t="e">
        <f>M17-#REF!</f>
        <v>#REF!</v>
      </c>
      <c r="N87" s="377" t="e">
        <f>N17-#REF!</f>
        <v>#REF!</v>
      </c>
      <c r="O87" s="377" t="e">
        <f>O17-#REF!</f>
        <v>#REF!</v>
      </c>
      <c r="P87" s="377" t="e">
        <f>P17-#REF!</f>
        <v>#REF!</v>
      </c>
      <c r="Q87" s="377" t="e">
        <f>Q17-#REF!</f>
        <v>#REF!</v>
      </c>
      <c r="R87" s="377" t="e">
        <f>R17-#REF!</f>
        <v>#REF!</v>
      </c>
      <c r="S87" s="377" t="e">
        <f>S17-#REF!</f>
        <v>#REF!</v>
      </c>
      <c r="T87" s="377" t="e">
        <f>T17-#REF!</f>
        <v>#REF!</v>
      </c>
      <c r="U87" s="377" t="e">
        <f>U17-#REF!</f>
        <v>#REF!</v>
      </c>
      <c r="V87" s="377" t="e">
        <f>V17-#REF!</f>
        <v>#REF!</v>
      </c>
      <c r="W87" s="377" t="e">
        <f>W17-#REF!</f>
        <v>#REF!</v>
      </c>
      <c r="X87" s="377" t="e">
        <f>X17-#REF!</f>
        <v>#REF!</v>
      </c>
      <c r="Y87" s="377" t="e">
        <f>Y17-#REF!</f>
        <v>#REF!</v>
      </c>
      <c r="Z87" s="377" t="e">
        <f>Z17-#REF!</f>
        <v>#REF!</v>
      </c>
      <c r="AA87" s="377" t="e">
        <f>AA17-#REF!</f>
        <v>#REF!</v>
      </c>
      <c r="AB87" s="377" t="e">
        <f>AB17-#REF!</f>
        <v>#REF!</v>
      </c>
      <c r="AC87" s="377" t="e">
        <f>AC17-#REF!</f>
        <v>#REF!</v>
      </c>
      <c r="AD87" s="377" t="e">
        <f>AD17-#REF!</f>
        <v>#REF!</v>
      </c>
      <c r="AE87" s="377" t="e">
        <f>AE17-#REF!</f>
        <v>#REF!</v>
      </c>
      <c r="AF87" s="377" t="e">
        <f>AF17-#REF!</f>
        <v>#REF!</v>
      </c>
      <c r="AG87" s="377" t="e">
        <f>AG17-#REF!</f>
        <v>#REF!</v>
      </c>
      <c r="AH87" s="377" t="e">
        <f>AH17-#REF!</f>
        <v>#REF!</v>
      </c>
      <c r="AI87" s="377" t="e">
        <f>AI17-#REF!</f>
        <v>#REF!</v>
      </c>
      <c r="AJ87" s="377" t="e">
        <f>AJ17-#REF!</f>
        <v>#REF!</v>
      </c>
      <c r="AK87" s="377" t="e">
        <f>AK17-#REF!</f>
        <v>#REF!</v>
      </c>
      <c r="AL87" s="377" t="e">
        <f>AL17-#REF!</f>
        <v>#REF!</v>
      </c>
      <c r="AM87" s="377" t="e">
        <f>AM17-#REF!</f>
        <v>#REF!</v>
      </c>
      <c r="AN87" s="377" t="e">
        <f>AN17-#REF!</f>
        <v>#REF!</v>
      </c>
      <c r="AO87" s="377" t="e">
        <f>AO17-#REF!</f>
        <v>#REF!</v>
      </c>
      <c r="AP87" s="377" t="e">
        <f>AP17-#REF!</f>
        <v>#REF!</v>
      </c>
      <c r="AQ87" s="377" t="e">
        <f>AQ17-#REF!</f>
        <v>#REF!</v>
      </c>
      <c r="AR87" s="377" t="e">
        <f>AR17-#REF!</f>
        <v>#REF!</v>
      </c>
      <c r="AS87" s="377" t="e">
        <f>AS17-#REF!</f>
        <v>#REF!</v>
      </c>
      <c r="AT87" s="377" t="e">
        <f>AT17-#REF!</f>
        <v>#REF!</v>
      </c>
      <c r="AU87" s="377" t="e">
        <f>AU17-#REF!</f>
        <v>#REF!</v>
      </c>
      <c r="AV87" s="377" t="e">
        <f>AV17-#REF!</f>
        <v>#REF!</v>
      </c>
      <c r="AW87" s="377" t="e">
        <f>AW17-#REF!</f>
        <v>#REF!</v>
      </c>
      <c r="AX87" s="377" t="e">
        <f>AX17-#REF!</f>
        <v>#REF!</v>
      </c>
      <c r="AY87" s="377" t="e">
        <f>AY17-#REF!</f>
        <v>#REF!</v>
      </c>
      <c r="AZ87" s="377" t="e">
        <f>AZ17-#REF!</f>
        <v>#REF!</v>
      </c>
      <c r="BA87" s="377" t="e">
        <f>BA17-#REF!</f>
        <v>#REF!</v>
      </c>
      <c r="BB87" s="377" t="e">
        <f>BB17-#REF!</f>
        <v>#REF!</v>
      </c>
      <c r="BC87" s="377" t="e">
        <f>BC17-#REF!</f>
        <v>#REF!</v>
      </c>
      <c r="BD87" s="377" t="e">
        <f>BD17-#REF!</f>
        <v>#REF!</v>
      </c>
      <c r="BE87" s="377" t="e">
        <f>BE17-#REF!</f>
        <v>#REF!</v>
      </c>
      <c r="BF87" s="377" t="e">
        <f>BF17-#REF!</f>
        <v>#REF!</v>
      </c>
      <c r="BG87" s="377" t="e">
        <f>BG17-#REF!</f>
        <v>#REF!</v>
      </c>
      <c r="BH87" s="377" t="e">
        <f>BH17-#REF!</f>
        <v>#REF!</v>
      </c>
      <c r="BI87" s="377" t="e">
        <f>BI17-#REF!</f>
        <v>#REF!</v>
      </c>
      <c r="BJ87" s="377" t="e">
        <f>BJ17-#REF!</f>
        <v>#REF!</v>
      </c>
      <c r="BK87" s="377" t="e">
        <f>BK17-#REF!</f>
        <v>#REF!</v>
      </c>
      <c r="BL87" s="377" t="e">
        <f>BL17-#REF!</f>
        <v>#REF!</v>
      </c>
      <c r="BM87" s="377" t="e">
        <f>BM17-#REF!</f>
        <v>#REF!</v>
      </c>
      <c r="BN87" s="377" t="e">
        <f>BN17-#REF!</f>
        <v>#REF!</v>
      </c>
      <c r="BO87" s="377" t="e">
        <f>BO17-#REF!</f>
        <v>#REF!</v>
      </c>
      <c r="BP87" s="377" t="e">
        <f>BP17-#REF!</f>
        <v>#REF!</v>
      </c>
      <c r="BQ87" s="377" t="e">
        <f>BQ17-#REF!</f>
        <v>#REF!</v>
      </c>
      <c r="BR87" s="377" t="e">
        <f>BR17-#REF!</f>
        <v>#REF!</v>
      </c>
      <c r="BS87" s="377" t="e">
        <f>BS17-#REF!</f>
        <v>#REF!</v>
      </c>
      <c r="BT87" s="377" t="e">
        <f>BT17-#REF!</f>
        <v>#REF!</v>
      </c>
      <c r="BU87" s="377" t="e">
        <f>BU17-#REF!</f>
        <v>#REF!</v>
      </c>
      <c r="BV87" s="377"/>
      <c r="BW87" s="377"/>
      <c r="BX87" s="377"/>
    </row>
    <row r="88" spans="2:77" hidden="1" x14ac:dyDescent="0.2">
      <c r="M88" s="377" t="e">
        <f>M18-#REF!</f>
        <v>#REF!</v>
      </c>
      <c r="N88" s="377" t="e">
        <f>N18-#REF!</f>
        <v>#REF!</v>
      </c>
      <c r="O88" s="377" t="e">
        <f>O18-#REF!</f>
        <v>#REF!</v>
      </c>
      <c r="P88" s="377" t="e">
        <f>P18-#REF!</f>
        <v>#REF!</v>
      </c>
      <c r="Q88" s="377" t="e">
        <f>Q18-#REF!</f>
        <v>#REF!</v>
      </c>
      <c r="R88" s="377" t="e">
        <f>R18-#REF!</f>
        <v>#REF!</v>
      </c>
      <c r="S88" s="377" t="e">
        <f>S18-#REF!</f>
        <v>#REF!</v>
      </c>
      <c r="T88" s="377" t="e">
        <f>T18-#REF!</f>
        <v>#REF!</v>
      </c>
      <c r="U88" s="377" t="e">
        <f>U18-#REF!</f>
        <v>#REF!</v>
      </c>
      <c r="V88" s="377" t="e">
        <f>V18-#REF!</f>
        <v>#REF!</v>
      </c>
      <c r="W88" s="377" t="e">
        <f>W18-#REF!</f>
        <v>#REF!</v>
      </c>
      <c r="X88" s="377" t="e">
        <f>X18-#REF!</f>
        <v>#REF!</v>
      </c>
      <c r="Y88" s="377" t="e">
        <f>Y18-#REF!</f>
        <v>#REF!</v>
      </c>
      <c r="Z88" s="377" t="e">
        <f>Z18-#REF!</f>
        <v>#REF!</v>
      </c>
      <c r="AA88" s="377" t="e">
        <f>AA18-#REF!</f>
        <v>#REF!</v>
      </c>
      <c r="AB88" s="377" t="e">
        <f>AB18-#REF!</f>
        <v>#REF!</v>
      </c>
      <c r="AC88" s="377" t="e">
        <f>AC18-#REF!</f>
        <v>#REF!</v>
      </c>
      <c r="AD88" s="377" t="e">
        <f>AD18-#REF!</f>
        <v>#REF!</v>
      </c>
      <c r="AE88" s="377" t="e">
        <f>AE18-#REF!</f>
        <v>#REF!</v>
      </c>
      <c r="AF88" s="377" t="e">
        <f>AF18-#REF!</f>
        <v>#REF!</v>
      </c>
      <c r="AG88" s="377" t="e">
        <f>AG18-#REF!</f>
        <v>#REF!</v>
      </c>
      <c r="AH88" s="377" t="e">
        <f>AH18-#REF!</f>
        <v>#REF!</v>
      </c>
      <c r="AI88" s="377" t="e">
        <f>AI18-#REF!</f>
        <v>#REF!</v>
      </c>
      <c r="AJ88" s="377" t="e">
        <f>AJ18-#REF!</f>
        <v>#REF!</v>
      </c>
      <c r="AK88" s="377" t="e">
        <f>AK18-#REF!</f>
        <v>#REF!</v>
      </c>
      <c r="AL88" s="377" t="e">
        <f>AL18-#REF!</f>
        <v>#REF!</v>
      </c>
      <c r="AM88" s="377" t="e">
        <f>AM18-#REF!</f>
        <v>#REF!</v>
      </c>
      <c r="AN88" s="377" t="e">
        <f>AN18-#REF!</f>
        <v>#REF!</v>
      </c>
      <c r="AO88" s="377" t="e">
        <f>AO18-#REF!</f>
        <v>#REF!</v>
      </c>
      <c r="AP88" s="377" t="e">
        <f>AP18-#REF!</f>
        <v>#REF!</v>
      </c>
      <c r="AQ88" s="377" t="e">
        <f>AQ18-#REF!</f>
        <v>#REF!</v>
      </c>
      <c r="AR88" s="377" t="e">
        <f>AR18-#REF!</f>
        <v>#REF!</v>
      </c>
      <c r="AS88" s="377" t="e">
        <f>AS18-#REF!</f>
        <v>#REF!</v>
      </c>
      <c r="AT88" s="377" t="e">
        <f>AT18-#REF!</f>
        <v>#REF!</v>
      </c>
      <c r="AU88" s="377" t="e">
        <f>AU18-#REF!</f>
        <v>#REF!</v>
      </c>
      <c r="AV88" s="377" t="e">
        <f>AV18-#REF!</f>
        <v>#REF!</v>
      </c>
      <c r="AW88" s="377" t="e">
        <f>AW18-#REF!</f>
        <v>#REF!</v>
      </c>
      <c r="AX88" s="377" t="e">
        <f>AX18-#REF!</f>
        <v>#REF!</v>
      </c>
      <c r="AY88" s="377" t="e">
        <f>AY18-#REF!</f>
        <v>#REF!</v>
      </c>
      <c r="AZ88" s="377" t="e">
        <f>AZ18-#REF!</f>
        <v>#REF!</v>
      </c>
      <c r="BA88" s="377" t="e">
        <f>BA18-#REF!</f>
        <v>#REF!</v>
      </c>
      <c r="BB88" s="377" t="e">
        <f>BB18-#REF!</f>
        <v>#REF!</v>
      </c>
      <c r="BC88" s="377" t="e">
        <f>BC18-#REF!</f>
        <v>#REF!</v>
      </c>
      <c r="BD88" s="377" t="e">
        <f>BD18-#REF!</f>
        <v>#REF!</v>
      </c>
      <c r="BE88" s="377" t="e">
        <f>BE18-#REF!</f>
        <v>#REF!</v>
      </c>
      <c r="BF88" s="377" t="e">
        <f>BF18-#REF!</f>
        <v>#REF!</v>
      </c>
      <c r="BG88" s="377" t="e">
        <f>BG18-#REF!</f>
        <v>#REF!</v>
      </c>
      <c r="BH88" s="377" t="e">
        <f>BH18-#REF!</f>
        <v>#REF!</v>
      </c>
      <c r="BI88" s="377" t="e">
        <f>BI18-#REF!</f>
        <v>#REF!</v>
      </c>
      <c r="BJ88" s="377" t="e">
        <f>BJ18-#REF!</f>
        <v>#REF!</v>
      </c>
      <c r="BK88" s="377" t="e">
        <f>BK18-#REF!</f>
        <v>#REF!</v>
      </c>
      <c r="BL88" s="377" t="e">
        <f>BL18-#REF!</f>
        <v>#REF!</v>
      </c>
      <c r="BM88" s="377" t="e">
        <f>BM18-#REF!</f>
        <v>#REF!</v>
      </c>
      <c r="BN88" s="377" t="e">
        <f>BN18-#REF!</f>
        <v>#REF!</v>
      </c>
      <c r="BO88" s="377" t="e">
        <f>BO18-#REF!</f>
        <v>#REF!</v>
      </c>
      <c r="BP88" s="377" t="e">
        <f>BP18-#REF!</f>
        <v>#REF!</v>
      </c>
      <c r="BQ88" s="377" t="e">
        <f>BQ18-#REF!</f>
        <v>#REF!</v>
      </c>
      <c r="BR88" s="377" t="e">
        <f>BR18-#REF!</f>
        <v>#REF!</v>
      </c>
      <c r="BS88" s="377" t="e">
        <f>BS18-#REF!</f>
        <v>#REF!</v>
      </c>
      <c r="BT88" s="377" t="e">
        <f>BT18-#REF!</f>
        <v>#REF!</v>
      </c>
      <c r="BU88" s="377" t="e">
        <f>BU18-#REF!</f>
        <v>#REF!</v>
      </c>
      <c r="BV88" s="377"/>
      <c r="BW88" s="377"/>
    </row>
    <row r="89" spans="2:77" hidden="1" x14ac:dyDescent="0.2">
      <c r="M89" s="377" t="e">
        <f>M19-#REF!</f>
        <v>#REF!</v>
      </c>
      <c r="N89" s="377" t="e">
        <f>N19-#REF!</f>
        <v>#REF!</v>
      </c>
      <c r="O89" s="377" t="e">
        <f>O19-#REF!</f>
        <v>#REF!</v>
      </c>
      <c r="P89" s="377" t="e">
        <f>P19-#REF!</f>
        <v>#REF!</v>
      </c>
      <c r="Q89" s="377" t="e">
        <f>Q19-#REF!</f>
        <v>#REF!</v>
      </c>
      <c r="R89" s="377" t="e">
        <f>R19-#REF!</f>
        <v>#REF!</v>
      </c>
      <c r="S89" s="377" t="e">
        <f>S19-#REF!</f>
        <v>#REF!</v>
      </c>
      <c r="T89" s="377" t="e">
        <f>T19-#REF!</f>
        <v>#REF!</v>
      </c>
      <c r="U89" s="377" t="e">
        <f>U19-#REF!</f>
        <v>#REF!</v>
      </c>
      <c r="V89" s="377" t="e">
        <f>V19-#REF!</f>
        <v>#REF!</v>
      </c>
      <c r="W89" s="377" t="e">
        <f>W19-#REF!</f>
        <v>#REF!</v>
      </c>
      <c r="X89" s="377" t="e">
        <f>X19-#REF!</f>
        <v>#REF!</v>
      </c>
      <c r="Y89" s="377" t="e">
        <f>Y19-#REF!</f>
        <v>#REF!</v>
      </c>
      <c r="Z89" s="377" t="e">
        <f>Z19-#REF!</f>
        <v>#REF!</v>
      </c>
      <c r="AA89" s="377" t="e">
        <f>AA19-#REF!</f>
        <v>#REF!</v>
      </c>
      <c r="AB89" s="377" t="e">
        <f>AB19-#REF!</f>
        <v>#REF!</v>
      </c>
      <c r="AC89" s="377" t="e">
        <f>AC19-#REF!</f>
        <v>#REF!</v>
      </c>
      <c r="AD89" s="377" t="e">
        <f>AD19-#REF!</f>
        <v>#REF!</v>
      </c>
      <c r="AE89" s="377" t="e">
        <f>AE19-#REF!</f>
        <v>#REF!</v>
      </c>
      <c r="AF89" s="377" t="e">
        <f>AF19-#REF!</f>
        <v>#REF!</v>
      </c>
      <c r="AG89" s="377" t="e">
        <f>AG19-#REF!</f>
        <v>#REF!</v>
      </c>
      <c r="AH89" s="377" t="e">
        <f>AH19-#REF!</f>
        <v>#REF!</v>
      </c>
      <c r="AI89" s="377" t="e">
        <f>AI19-#REF!</f>
        <v>#REF!</v>
      </c>
      <c r="AJ89" s="377" t="e">
        <f>AJ19-#REF!</f>
        <v>#REF!</v>
      </c>
      <c r="AK89" s="377" t="e">
        <f>AK19-#REF!</f>
        <v>#REF!</v>
      </c>
      <c r="AL89" s="377" t="e">
        <f>AL19-#REF!</f>
        <v>#REF!</v>
      </c>
      <c r="AM89" s="377" t="e">
        <f>AM19-#REF!</f>
        <v>#REF!</v>
      </c>
      <c r="AN89" s="377" t="e">
        <f>AN19-#REF!</f>
        <v>#REF!</v>
      </c>
      <c r="AO89" s="377" t="e">
        <f>AO19-#REF!</f>
        <v>#REF!</v>
      </c>
      <c r="AP89" s="377" t="e">
        <f>AP19-#REF!</f>
        <v>#REF!</v>
      </c>
      <c r="AQ89" s="377" t="e">
        <f>AQ19-#REF!</f>
        <v>#REF!</v>
      </c>
      <c r="AR89" s="377" t="e">
        <f>AR19-#REF!</f>
        <v>#REF!</v>
      </c>
      <c r="AS89" s="377" t="e">
        <f>AS19-#REF!</f>
        <v>#REF!</v>
      </c>
      <c r="AT89" s="377" t="e">
        <f>AT19-#REF!</f>
        <v>#REF!</v>
      </c>
      <c r="AU89" s="377" t="e">
        <f>AU19-#REF!</f>
        <v>#REF!</v>
      </c>
      <c r="AV89" s="377" t="e">
        <f>AV19-#REF!</f>
        <v>#REF!</v>
      </c>
      <c r="AW89" s="377" t="e">
        <f>AW19-#REF!</f>
        <v>#REF!</v>
      </c>
      <c r="AX89" s="377" t="e">
        <f>AX19-#REF!</f>
        <v>#REF!</v>
      </c>
      <c r="AY89" s="377" t="e">
        <f>AY19-#REF!</f>
        <v>#REF!</v>
      </c>
      <c r="AZ89" s="377" t="e">
        <f>AZ19-#REF!</f>
        <v>#REF!</v>
      </c>
      <c r="BA89" s="377" t="e">
        <f>BA19-#REF!</f>
        <v>#REF!</v>
      </c>
      <c r="BB89" s="377" t="e">
        <f>BB19-#REF!</f>
        <v>#REF!</v>
      </c>
      <c r="BC89" s="377" t="e">
        <f>BC19-#REF!</f>
        <v>#REF!</v>
      </c>
      <c r="BD89" s="377" t="e">
        <f>BD19-#REF!</f>
        <v>#REF!</v>
      </c>
      <c r="BE89" s="377" t="e">
        <f>BE19-#REF!</f>
        <v>#REF!</v>
      </c>
      <c r="BF89" s="377" t="e">
        <f>BF19-#REF!</f>
        <v>#REF!</v>
      </c>
      <c r="BG89" s="377" t="e">
        <f>BG19-#REF!</f>
        <v>#REF!</v>
      </c>
      <c r="BH89" s="377" t="e">
        <f>BH19-#REF!</f>
        <v>#REF!</v>
      </c>
      <c r="BI89" s="377" t="e">
        <f>BI19-#REF!</f>
        <v>#REF!</v>
      </c>
      <c r="BJ89" s="377" t="e">
        <f>BJ19-#REF!</f>
        <v>#REF!</v>
      </c>
      <c r="BK89" s="377" t="e">
        <f>BK19-#REF!</f>
        <v>#REF!</v>
      </c>
      <c r="BL89" s="377" t="e">
        <f>BL19-#REF!</f>
        <v>#REF!</v>
      </c>
      <c r="BM89" s="377" t="e">
        <f>BM19-#REF!</f>
        <v>#REF!</v>
      </c>
      <c r="BN89" s="377" t="e">
        <f>BN19-#REF!</f>
        <v>#REF!</v>
      </c>
      <c r="BO89" s="377" t="e">
        <f>BO19-#REF!</f>
        <v>#REF!</v>
      </c>
      <c r="BP89" s="377" t="e">
        <f>BP19-#REF!</f>
        <v>#REF!</v>
      </c>
      <c r="BQ89" s="377" t="e">
        <f>BQ19-#REF!</f>
        <v>#REF!</v>
      </c>
      <c r="BR89" s="377" t="e">
        <f>BR19-#REF!</f>
        <v>#REF!</v>
      </c>
      <c r="BS89" s="377" t="e">
        <f>BS19-#REF!</f>
        <v>#REF!</v>
      </c>
      <c r="BT89" s="377" t="e">
        <f>BT19-#REF!</f>
        <v>#REF!</v>
      </c>
      <c r="BU89" s="377" t="e">
        <f>BU19-#REF!</f>
        <v>#REF!</v>
      </c>
      <c r="BV89" s="377"/>
      <c r="BW89" s="377"/>
    </row>
    <row r="90" spans="2:77" hidden="1" x14ac:dyDescent="0.2">
      <c r="M90" s="377" t="e">
        <f>M20-#REF!</f>
        <v>#REF!</v>
      </c>
      <c r="N90" s="377" t="e">
        <f>N20-#REF!</f>
        <v>#REF!</v>
      </c>
      <c r="O90" s="377" t="e">
        <f>O20-#REF!</f>
        <v>#REF!</v>
      </c>
      <c r="P90" s="377" t="e">
        <f>P20-#REF!</f>
        <v>#REF!</v>
      </c>
      <c r="Q90" s="377" t="e">
        <f>Q20-#REF!</f>
        <v>#REF!</v>
      </c>
      <c r="R90" s="377" t="e">
        <f>R20-#REF!</f>
        <v>#REF!</v>
      </c>
      <c r="S90" s="377" t="e">
        <f>S20-#REF!</f>
        <v>#REF!</v>
      </c>
      <c r="T90" s="377" t="e">
        <f>T20-#REF!</f>
        <v>#REF!</v>
      </c>
      <c r="U90" s="377" t="e">
        <f>U20-#REF!</f>
        <v>#REF!</v>
      </c>
      <c r="V90" s="377" t="e">
        <f>V20-#REF!</f>
        <v>#REF!</v>
      </c>
      <c r="W90" s="377" t="e">
        <f>W20-#REF!</f>
        <v>#REF!</v>
      </c>
      <c r="X90" s="377" t="e">
        <f>X20-#REF!</f>
        <v>#REF!</v>
      </c>
      <c r="Y90" s="377" t="e">
        <f>Y20-#REF!</f>
        <v>#REF!</v>
      </c>
      <c r="Z90" s="377" t="e">
        <f>Z20-#REF!</f>
        <v>#REF!</v>
      </c>
      <c r="AA90" s="377" t="e">
        <f>AA20-#REF!</f>
        <v>#REF!</v>
      </c>
      <c r="AB90" s="377" t="e">
        <f>AB20-#REF!</f>
        <v>#REF!</v>
      </c>
      <c r="AC90" s="377" t="e">
        <f>AC20-#REF!</f>
        <v>#REF!</v>
      </c>
      <c r="AD90" s="377" t="e">
        <f>AD20-#REF!</f>
        <v>#REF!</v>
      </c>
      <c r="AE90" s="377" t="e">
        <f>AE20-#REF!</f>
        <v>#REF!</v>
      </c>
      <c r="AF90" s="377" t="e">
        <f>AF20-#REF!</f>
        <v>#REF!</v>
      </c>
      <c r="AG90" s="377" t="e">
        <f>AG20-#REF!</f>
        <v>#REF!</v>
      </c>
      <c r="AH90" s="377" t="e">
        <f>AH20-#REF!</f>
        <v>#REF!</v>
      </c>
      <c r="AI90" s="377" t="e">
        <f>AI20-#REF!</f>
        <v>#REF!</v>
      </c>
      <c r="AJ90" s="377" t="e">
        <f>AJ20-#REF!</f>
        <v>#REF!</v>
      </c>
      <c r="AK90" s="377" t="e">
        <f>AK20-#REF!</f>
        <v>#REF!</v>
      </c>
      <c r="AL90" s="377" t="e">
        <f>AL20-#REF!</f>
        <v>#REF!</v>
      </c>
      <c r="AM90" s="377" t="e">
        <f>AM20-#REF!</f>
        <v>#REF!</v>
      </c>
      <c r="AN90" s="377" t="e">
        <f>AN20-#REF!</f>
        <v>#REF!</v>
      </c>
      <c r="AO90" s="377" t="e">
        <f>AO20-#REF!</f>
        <v>#REF!</v>
      </c>
      <c r="AP90" s="377" t="e">
        <f>AP20-#REF!</f>
        <v>#REF!</v>
      </c>
      <c r="AQ90" s="377" t="e">
        <f>AQ20-#REF!</f>
        <v>#REF!</v>
      </c>
      <c r="AR90" s="377" t="e">
        <f>AR20-#REF!</f>
        <v>#REF!</v>
      </c>
      <c r="AS90" s="377" t="e">
        <f>AS20-#REF!</f>
        <v>#REF!</v>
      </c>
      <c r="AT90" s="377" t="e">
        <f>AT20-#REF!</f>
        <v>#REF!</v>
      </c>
      <c r="AU90" s="377" t="e">
        <f>AU20-#REF!</f>
        <v>#REF!</v>
      </c>
      <c r="AV90" s="377" t="e">
        <f>AV20-#REF!</f>
        <v>#REF!</v>
      </c>
      <c r="AW90" s="377" t="e">
        <f>AW20-#REF!</f>
        <v>#REF!</v>
      </c>
      <c r="AX90" s="377" t="e">
        <f>AX20-#REF!</f>
        <v>#REF!</v>
      </c>
      <c r="AY90" s="377" t="e">
        <f>AY20-#REF!</f>
        <v>#REF!</v>
      </c>
      <c r="AZ90" s="377" t="e">
        <f>AZ20-#REF!</f>
        <v>#REF!</v>
      </c>
      <c r="BA90" s="377" t="e">
        <f>BA20-#REF!</f>
        <v>#REF!</v>
      </c>
      <c r="BB90" s="377" t="e">
        <f>BB20-#REF!</f>
        <v>#REF!</v>
      </c>
      <c r="BC90" s="377" t="e">
        <f>BC20-#REF!</f>
        <v>#REF!</v>
      </c>
      <c r="BD90" s="377" t="e">
        <f>BD20-#REF!</f>
        <v>#REF!</v>
      </c>
      <c r="BE90" s="377" t="e">
        <f>BE20-#REF!</f>
        <v>#REF!</v>
      </c>
      <c r="BF90" s="377" t="e">
        <f>BF20-#REF!</f>
        <v>#REF!</v>
      </c>
      <c r="BG90" s="377" t="e">
        <f>BG20-#REF!</f>
        <v>#REF!</v>
      </c>
      <c r="BH90" s="377" t="e">
        <f>BH20-#REF!</f>
        <v>#REF!</v>
      </c>
      <c r="BI90" s="377" t="e">
        <f>BI20-#REF!</f>
        <v>#REF!</v>
      </c>
      <c r="BJ90" s="377" t="e">
        <f>BJ20-#REF!</f>
        <v>#REF!</v>
      </c>
      <c r="BK90" s="377" t="e">
        <f>BK20-#REF!</f>
        <v>#REF!</v>
      </c>
      <c r="BL90" s="377" t="e">
        <f>BL20-#REF!</f>
        <v>#REF!</v>
      </c>
      <c r="BM90" s="377" t="e">
        <f>BM20-#REF!</f>
        <v>#REF!</v>
      </c>
      <c r="BN90" s="377" t="e">
        <f>BN20-#REF!</f>
        <v>#REF!</v>
      </c>
      <c r="BO90" s="377" t="e">
        <f>BO20-#REF!</f>
        <v>#REF!</v>
      </c>
      <c r="BP90" s="377" t="e">
        <f>BP20-#REF!</f>
        <v>#REF!</v>
      </c>
      <c r="BQ90" s="377" t="e">
        <f>BQ20-#REF!</f>
        <v>#REF!</v>
      </c>
      <c r="BR90" s="377" t="e">
        <f>BR20-#REF!</f>
        <v>#REF!</v>
      </c>
      <c r="BS90" s="377" t="e">
        <f>BS20-#REF!</f>
        <v>#REF!</v>
      </c>
      <c r="BT90" s="377" t="e">
        <f>BT20-#REF!</f>
        <v>#REF!</v>
      </c>
      <c r="BU90" s="377" t="e">
        <f>BU20-#REF!</f>
        <v>#REF!</v>
      </c>
      <c r="BV90" s="377"/>
      <c r="BW90" s="377"/>
    </row>
    <row r="91" spans="2:77" hidden="1" x14ac:dyDescent="0.2">
      <c r="M91" s="377" t="e">
        <f>M21-#REF!</f>
        <v>#REF!</v>
      </c>
      <c r="N91" s="377" t="e">
        <f>N21-#REF!</f>
        <v>#REF!</v>
      </c>
      <c r="O91" s="377" t="e">
        <f>O21-#REF!</f>
        <v>#REF!</v>
      </c>
      <c r="P91" s="377" t="e">
        <f>P21-#REF!</f>
        <v>#REF!</v>
      </c>
      <c r="Q91" s="377" t="e">
        <f>Q21-#REF!</f>
        <v>#REF!</v>
      </c>
      <c r="R91" s="377" t="e">
        <f>R21-#REF!</f>
        <v>#REF!</v>
      </c>
      <c r="S91" s="377" t="e">
        <f>S21-#REF!</f>
        <v>#REF!</v>
      </c>
      <c r="T91" s="377" t="e">
        <f>T21-#REF!</f>
        <v>#REF!</v>
      </c>
      <c r="U91" s="377" t="e">
        <f>U21-#REF!</f>
        <v>#REF!</v>
      </c>
      <c r="V91" s="377" t="e">
        <f>V21-#REF!</f>
        <v>#REF!</v>
      </c>
      <c r="W91" s="377" t="e">
        <f>W21-#REF!</f>
        <v>#REF!</v>
      </c>
      <c r="X91" s="377" t="e">
        <f>X21-#REF!</f>
        <v>#REF!</v>
      </c>
      <c r="Y91" s="377" t="e">
        <f>Y21-#REF!</f>
        <v>#REF!</v>
      </c>
      <c r="Z91" s="377" t="e">
        <f>Z21-#REF!</f>
        <v>#REF!</v>
      </c>
      <c r="AA91" s="377" t="e">
        <f>AA21-#REF!</f>
        <v>#REF!</v>
      </c>
      <c r="AB91" s="377" t="e">
        <f>AB21-#REF!</f>
        <v>#REF!</v>
      </c>
      <c r="AC91" s="377" t="e">
        <f>AC21-#REF!</f>
        <v>#REF!</v>
      </c>
      <c r="AD91" s="377" t="e">
        <f>AD21-#REF!</f>
        <v>#REF!</v>
      </c>
      <c r="AE91" s="377" t="e">
        <f>AE21-#REF!</f>
        <v>#REF!</v>
      </c>
      <c r="AF91" s="377" t="e">
        <f>AF21-#REF!</f>
        <v>#REF!</v>
      </c>
      <c r="AG91" s="377" t="e">
        <f>AG21-#REF!</f>
        <v>#REF!</v>
      </c>
      <c r="AH91" s="377" t="e">
        <f>AH21-#REF!</f>
        <v>#REF!</v>
      </c>
      <c r="AI91" s="377" t="e">
        <f>AI21-#REF!</f>
        <v>#REF!</v>
      </c>
      <c r="AJ91" s="377" t="e">
        <f>AJ21-#REF!</f>
        <v>#REF!</v>
      </c>
      <c r="AK91" s="377" t="e">
        <f>AK21-#REF!</f>
        <v>#REF!</v>
      </c>
      <c r="AL91" s="377" t="e">
        <f>AL21-#REF!</f>
        <v>#REF!</v>
      </c>
      <c r="AM91" s="377" t="e">
        <f>AM21-#REF!</f>
        <v>#REF!</v>
      </c>
      <c r="AN91" s="377" t="e">
        <f>AN21-#REF!</f>
        <v>#REF!</v>
      </c>
      <c r="AO91" s="377" t="e">
        <f>AO21-#REF!</f>
        <v>#REF!</v>
      </c>
      <c r="AP91" s="377" t="e">
        <f>AP21-#REF!</f>
        <v>#REF!</v>
      </c>
      <c r="AQ91" s="377" t="e">
        <f>AQ21-#REF!</f>
        <v>#REF!</v>
      </c>
      <c r="AR91" s="377" t="e">
        <f>AR21-#REF!</f>
        <v>#REF!</v>
      </c>
      <c r="AS91" s="377" t="e">
        <f>AS21-#REF!</f>
        <v>#REF!</v>
      </c>
      <c r="AT91" s="377" t="e">
        <f>AT21-#REF!</f>
        <v>#REF!</v>
      </c>
      <c r="AU91" s="377" t="e">
        <f>AU21-#REF!</f>
        <v>#REF!</v>
      </c>
      <c r="AV91" s="377" t="e">
        <f>AV21-#REF!</f>
        <v>#REF!</v>
      </c>
      <c r="AW91" s="377" t="e">
        <f>AW21-#REF!</f>
        <v>#REF!</v>
      </c>
      <c r="AX91" s="377" t="e">
        <f>AX21-#REF!</f>
        <v>#REF!</v>
      </c>
      <c r="AY91" s="377" t="e">
        <f>AY21-#REF!</f>
        <v>#REF!</v>
      </c>
      <c r="AZ91" s="377" t="e">
        <f>AZ21-#REF!</f>
        <v>#REF!</v>
      </c>
      <c r="BA91" s="377" t="e">
        <f>BA21-#REF!</f>
        <v>#REF!</v>
      </c>
      <c r="BB91" s="377" t="e">
        <f>BB21-#REF!</f>
        <v>#REF!</v>
      </c>
      <c r="BC91" s="377" t="e">
        <f>BC21-#REF!</f>
        <v>#REF!</v>
      </c>
      <c r="BD91" s="377" t="e">
        <f>BD21-#REF!</f>
        <v>#REF!</v>
      </c>
      <c r="BE91" s="377" t="e">
        <f>BE21-#REF!</f>
        <v>#REF!</v>
      </c>
      <c r="BF91" s="377" t="e">
        <f>BF21-#REF!</f>
        <v>#REF!</v>
      </c>
      <c r="BG91" s="377" t="e">
        <f>BG21-#REF!</f>
        <v>#REF!</v>
      </c>
      <c r="BH91" s="377" t="e">
        <f>BH21-#REF!</f>
        <v>#REF!</v>
      </c>
      <c r="BI91" s="377" t="e">
        <f>BI21-#REF!</f>
        <v>#REF!</v>
      </c>
      <c r="BJ91" s="377" t="e">
        <f>BJ21-#REF!</f>
        <v>#REF!</v>
      </c>
      <c r="BK91" s="377" t="e">
        <f>BK21-#REF!</f>
        <v>#REF!</v>
      </c>
      <c r="BL91" s="377" t="e">
        <f>BL21-#REF!</f>
        <v>#REF!</v>
      </c>
      <c r="BM91" s="377" t="e">
        <f>BM21-#REF!</f>
        <v>#REF!</v>
      </c>
      <c r="BN91" s="377" t="e">
        <f>BN21-#REF!</f>
        <v>#REF!</v>
      </c>
      <c r="BO91" s="377" t="e">
        <f>BO21-#REF!</f>
        <v>#REF!</v>
      </c>
      <c r="BP91" s="377" t="e">
        <f>BP21-#REF!</f>
        <v>#REF!</v>
      </c>
      <c r="BQ91" s="377" t="e">
        <f>BQ21-#REF!</f>
        <v>#REF!</v>
      </c>
      <c r="BR91" s="377" t="e">
        <f>BR21-#REF!</f>
        <v>#REF!</v>
      </c>
      <c r="BS91" s="377" t="e">
        <f>BS21-#REF!</f>
        <v>#REF!</v>
      </c>
      <c r="BT91" s="377" t="e">
        <f>BT21-#REF!</f>
        <v>#REF!</v>
      </c>
      <c r="BU91" s="377" t="e">
        <f>BU21-#REF!</f>
        <v>#REF!</v>
      </c>
      <c r="BV91" s="377"/>
      <c r="BW91" s="377"/>
    </row>
    <row r="92" spans="2:77" hidden="1" x14ac:dyDescent="0.2">
      <c r="M92" s="377" t="e">
        <f>M22-#REF!</f>
        <v>#REF!</v>
      </c>
      <c r="N92" s="377" t="e">
        <f>N22-#REF!</f>
        <v>#REF!</v>
      </c>
      <c r="O92" s="377" t="e">
        <f>O22-#REF!</f>
        <v>#REF!</v>
      </c>
      <c r="P92" s="377" t="e">
        <f>P22-#REF!</f>
        <v>#REF!</v>
      </c>
      <c r="Q92" s="377" t="e">
        <f>Q22-#REF!</f>
        <v>#REF!</v>
      </c>
      <c r="R92" s="377" t="e">
        <f>R22-#REF!</f>
        <v>#REF!</v>
      </c>
      <c r="S92" s="377" t="e">
        <f>S22-#REF!</f>
        <v>#REF!</v>
      </c>
      <c r="T92" s="377" t="e">
        <f>T22-#REF!</f>
        <v>#REF!</v>
      </c>
      <c r="U92" s="377" t="e">
        <f>U22-#REF!</f>
        <v>#REF!</v>
      </c>
      <c r="V92" s="377" t="e">
        <f>V22-#REF!</f>
        <v>#REF!</v>
      </c>
      <c r="W92" s="377" t="e">
        <f>W22-#REF!</f>
        <v>#REF!</v>
      </c>
      <c r="X92" s="377" t="e">
        <f>X22-#REF!</f>
        <v>#REF!</v>
      </c>
      <c r="Y92" s="377" t="e">
        <f>Y22-#REF!</f>
        <v>#REF!</v>
      </c>
      <c r="Z92" s="377" t="e">
        <f>Z22-#REF!</f>
        <v>#REF!</v>
      </c>
      <c r="AA92" s="377" t="e">
        <f>AA22-#REF!</f>
        <v>#REF!</v>
      </c>
      <c r="AB92" s="377" t="e">
        <f>AB22-#REF!</f>
        <v>#REF!</v>
      </c>
      <c r="AC92" s="377" t="e">
        <f>AC22-#REF!</f>
        <v>#REF!</v>
      </c>
      <c r="AD92" s="377" t="e">
        <f>AD22-#REF!</f>
        <v>#REF!</v>
      </c>
      <c r="AE92" s="377" t="e">
        <f>AE22-#REF!</f>
        <v>#REF!</v>
      </c>
      <c r="AF92" s="377" t="e">
        <f>AF22-#REF!</f>
        <v>#REF!</v>
      </c>
      <c r="AG92" s="377" t="e">
        <f>AG22-#REF!</f>
        <v>#REF!</v>
      </c>
      <c r="AH92" s="377" t="e">
        <f>AH22-#REF!</f>
        <v>#REF!</v>
      </c>
      <c r="AI92" s="377" t="e">
        <f>AI22-#REF!</f>
        <v>#REF!</v>
      </c>
      <c r="AJ92" s="377" t="e">
        <f>AJ22-#REF!</f>
        <v>#REF!</v>
      </c>
      <c r="AK92" s="377" t="e">
        <f>AK22-#REF!</f>
        <v>#REF!</v>
      </c>
      <c r="AL92" s="377" t="e">
        <f>AL22-#REF!</f>
        <v>#REF!</v>
      </c>
      <c r="AM92" s="377" t="e">
        <f>AM22-#REF!</f>
        <v>#REF!</v>
      </c>
      <c r="AN92" s="377" t="e">
        <f>AN22-#REF!</f>
        <v>#REF!</v>
      </c>
      <c r="AO92" s="377" t="e">
        <f>AO22-#REF!</f>
        <v>#REF!</v>
      </c>
      <c r="AP92" s="377" t="e">
        <f>AP22-#REF!</f>
        <v>#REF!</v>
      </c>
      <c r="AQ92" s="377" t="e">
        <f>AQ22-#REF!</f>
        <v>#REF!</v>
      </c>
      <c r="AR92" s="377" t="e">
        <f>AR22-#REF!</f>
        <v>#REF!</v>
      </c>
      <c r="AS92" s="377" t="e">
        <f>AS22-#REF!</f>
        <v>#REF!</v>
      </c>
      <c r="AT92" s="377" t="e">
        <f>AT22-#REF!</f>
        <v>#REF!</v>
      </c>
      <c r="AU92" s="377" t="e">
        <f>AU22-#REF!</f>
        <v>#REF!</v>
      </c>
      <c r="AV92" s="377" t="e">
        <f>AV22-#REF!</f>
        <v>#REF!</v>
      </c>
      <c r="AW92" s="377" t="e">
        <f>AW22-#REF!</f>
        <v>#REF!</v>
      </c>
      <c r="AX92" s="377" t="e">
        <f>AX22-#REF!</f>
        <v>#REF!</v>
      </c>
      <c r="AY92" s="377" t="e">
        <f>AY22-#REF!</f>
        <v>#REF!</v>
      </c>
      <c r="AZ92" s="377" t="e">
        <f>AZ22-#REF!</f>
        <v>#REF!</v>
      </c>
      <c r="BA92" s="377" t="e">
        <f>BA22-#REF!</f>
        <v>#REF!</v>
      </c>
      <c r="BB92" s="377" t="e">
        <f>BB22-#REF!</f>
        <v>#REF!</v>
      </c>
      <c r="BC92" s="377" t="e">
        <f>BC22-#REF!</f>
        <v>#REF!</v>
      </c>
      <c r="BD92" s="377" t="e">
        <f>BD22-#REF!</f>
        <v>#REF!</v>
      </c>
      <c r="BE92" s="377" t="e">
        <f>BE22-#REF!</f>
        <v>#REF!</v>
      </c>
      <c r="BF92" s="377" t="e">
        <f>BF22-#REF!</f>
        <v>#REF!</v>
      </c>
      <c r="BG92" s="377" t="e">
        <f>BG22-#REF!</f>
        <v>#REF!</v>
      </c>
      <c r="BH92" s="377" t="e">
        <f>BH22-#REF!</f>
        <v>#REF!</v>
      </c>
      <c r="BI92" s="377" t="e">
        <f>BI22-#REF!</f>
        <v>#REF!</v>
      </c>
      <c r="BJ92" s="377" t="e">
        <f>BJ22-#REF!</f>
        <v>#REF!</v>
      </c>
      <c r="BK92" s="377" t="e">
        <f>BK22-#REF!</f>
        <v>#REF!</v>
      </c>
      <c r="BL92" s="377" t="e">
        <f>BL22-#REF!</f>
        <v>#REF!</v>
      </c>
      <c r="BM92" s="377" t="e">
        <f>BM22-#REF!</f>
        <v>#REF!</v>
      </c>
      <c r="BN92" s="377" t="e">
        <f>BN22-#REF!</f>
        <v>#REF!</v>
      </c>
      <c r="BO92" s="377" t="e">
        <f>BO22-#REF!</f>
        <v>#REF!</v>
      </c>
      <c r="BP92" s="377" t="e">
        <f>BP22-#REF!</f>
        <v>#REF!</v>
      </c>
      <c r="BQ92" s="377" t="e">
        <f>BQ22-#REF!</f>
        <v>#REF!</v>
      </c>
      <c r="BR92" s="377" t="e">
        <f>BR22-#REF!</f>
        <v>#REF!</v>
      </c>
      <c r="BS92" s="377" t="e">
        <f>BS22-#REF!</f>
        <v>#REF!</v>
      </c>
      <c r="BT92" s="377" t="e">
        <f>BT22-#REF!</f>
        <v>#REF!</v>
      </c>
      <c r="BU92" s="377" t="e">
        <f>BU22-#REF!</f>
        <v>#REF!</v>
      </c>
      <c r="BV92" s="377"/>
      <c r="BW92" s="377"/>
    </row>
    <row r="93" spans="2:77" hidden="1" x14ac:dyDescent="0.2">
      <c r="M93" s="377" t="e">
        <f>M23-#REF!</f>
        <v>#REF!</v>
      </c>
      <c r="N93" s="377" t="e">
        <f>N23-#REF!</f>
        <v>#REF!</v>
      </c>
      <c r="O93" s="377" t="e">
        <f>O23-#REF!</f>
        <v>#REF!</v>
      </c>
      <c r="P93" s="377" t="e">
        <f>P23-#REF!</f>
        <v>#REF!</v>
      </c>
      <c r="Q93" s="377" t="e">
        <f>Q23-#REF!</f>
        <v>#REF!</v>
      </c>
      <c r="R93" s="377" t="e">
        <f>R23-#REF!</f>
        <v>#REF!</v>
      </c>
      <c r="S93" s="377" t="e">
        <f>S23-#REF!</f>
        <v>#REF!</v>
      </c>
      <c r="T93" s="377" t="e">
        <f>T23-#REF!</f>
        <v>#REF!</v>
      </c>
      <c r="U93" s="377" t="e">
        <f>U23-#REF!</f>
        <v>#REF!</v>
      </c>
      <c r="V93" s="377" t="e">
        <f>V23-#REF!</f>
        <v>#REF!</v>
      </c>
      <c r="W93" s="377" t="e">
        <f>W23-#REF!</f>
        <v>#REF!</v>
      </c>
      <c r="X93" s="377" t="e">
        <f>X23-#REF!</f>
        <v>#REF!</v>
      </c>
      <c r="Y93" s="377" t="e">
        <f>Y23-#REF!</f>
        <v>#REF!</v>
      </c>
      <c r="Z93" s="377" t="e">
        <f>Z23-#REF!</f>
        <v>#REF!</v>
      </c>
      <c r="AA93" s="377" t="e">
        <f>AA23-#REF!</f>
        <v>#REF!</v>
      </c>
      <c r="AB93" s="377" t="e">
        <f>AB23-#REF!</f>
        <v>#REF!</v>
      </c>
      <c r="AC93" s="377" t="e">
        <f>AC23-#REF!</f>
        <v>#REF!</v>
      </c>
      <c r="AD93" s="377" t="e">
        <f>AD23-#REF!</f>
        <v>#REF!</v>
      </c>
      <c r="AE93" s="377" t="e">
        <f>AE23-#REF!</f>
        <v>#REF!</v>
      </c>
      <c r="AF93" s="377" t="e">
        <f>AF23-#REF!</f>
        <v>#REF!</v>
      </c>
      <c r="AG93" s="377" t="e">
        <f>AG23-#REF!</f>
        <v>#REF!</v>
      </c>
      <c r="AH93" s="377" t="e">
        <f>AH23-#REF!</f>
        <v>#REF!</v>
      </c>
      <c r="AI93" s="377" t="e">
        <f>AI23-#REF!</f>
        <v>#REF!</v>
      </c>
      <c r="AJ93" s="377" t="e">
        <f>AJ23-#REF!</f>
        <v>#REF!</v>
      </c>
      <c r="AK93" s="377" t="e">
        <f>AK23-#REF!</f>
        <v>#REF!</v>
      </c>
      <c r="AL93" s="377" t="e">
        <f>AL23-#REF!</f>
        <v>#REF!</v>
      </c>
      <c r="AM93" s="377" t="e">
        <f>AM23-#REF!</f>
        <v>#REF!</v>
      </c>
      <c r="AN93" s="377" t="e">
        <f>AN23-#REF!</f>
        <v>#REF!</v>
      </c>
      <c r="AO93" s="377" t="e">
        <f>AO23-#REF!</f>
        <v>#REF!</v>
      </c>
      <c r="AP93" s="377" t="e">
        <f>AP23-#REF!</f>
        <v>#REF!</v>
      </c>
      <c r="AQ93" s="377" t="e">
        <f>AQ23-#REF!</f>
        <v>#REF!</v>
      </c>
      <c r="AR93" s="377" t="e">
        <f>AR23-#REF!</f>
        <v>#REF!</v>
      </c>
      <c r="AS93" s="377" t="e">
        <f>AS23-#REF!</f>
        <v>#REF!</v>
      </c>
      <c r="AT93" s="377" t="e">
        <f>AT23-#REF!</f>
        <v>#REF!</v>
      </c>
      <c r="AU93" s="377" t="e">
        <f>AU23-#REF!</f>
        <v>#REF!</v>
      </c>
      <c r="AV93" s="377" t="e">
        <f>AV23-#REF!</f>
        <v>#REF!</v>
      </c>
      <c r="AW93" s="377" t="e">
        <f>AW23-#REF!</f>
        <v>#REF!</v>
      </c>
      <c r="AX93" s="377" t="e">
        <f>AX23-#REF!</f>
        <v>#REF!</v>
      </c>
      <c r="AY93" s="377" t="e">
        <f>AY23-#REF!</f>
        <v>#REF!</v>
      </c>
      <c r="AZ93" s="377" t="e">
        <f>AZ23-#REF!</f>
        <v>#REF!</v>
      </c>
      <c r="BA93" s="377" t="e">
        <f>BA23-#REF!</f>
        <v>#REF!</v>
      </c>
      <c r="BB93" s="377" t="e">
        <f>BB23-#REF!</f>
        <v>#REF!</v>
      </c>
      <c r="BC93" s="377" t="e">
        <f>BC23-#REF!</f>
        <v>#REF!</v>
      </c>
      <c r="BD93" s="377" t="e">
        <f>BD23-#REF!</f>
        <v>#REF!</v>
      </c>
      <c r="BE93" s="377" t="e">
        <f>BE23-#REF!</f>
        <v>#REF!</v>
      </c>
      <c r="BF93" s="377" t="e">
        <f>BF23-#REF!</f>
        <v>#REF!</v>
      </c>
      <c r="BG93" s="377" t="e">
        <f>BG23-#REF!</f>
        <v>#REF!</v>
      </c>
      <c r="BH93" s="377" t="e">
        <f>BH23-#REF!</f>
        <v>#REF!</v>
      </c>
      <c r="BI93" s="377" t="e">
        <f>BI23-#REF!</f>
        <v>#REF!</v>
      </c>
      <c r="BJ93" s="377" t="e">
        <f>BJ23-#REF!</f>
        <v>#REF!</v>
      </c>
      <c r="BK93" s="377" t="e">
        <f>BK23-#REF!</f>
        <v>#REF!</v>
      </c>
      <c r="BL93" s="377" t="e">
        <f>BL23-#REF!</f>
        <v>#REF!</v>
      </c>
      <c r="BM93" s="377" t="e">
        <f>BM23-#REF!</f>
        <v>#REF!</v>
      </c>
      <c r="BN93" s="377" t="e">
        <f>BN23-#REF!</f>
        <v>#REF!</v>
      </c>
      <c r="BO93" s="377" t="e">
        <f>BO23-#REF!</f>
        <v>#REF!</v>
      </c>
      <c r="BP93" s="377" t="e">
        <f>BP23-#REF!</f>
        <v>#REF!</v>
      </c>
      <c r="BQ93" s="377" t="e">
        <f>BQ23-#REF!</f>
        <v>#REF!</v>
      </c>
      <c r="BR93" s="377" t="e">
        <f>BR23-#REF!</f>
        <v>#REF!</v>
      </c>
      <c r="BS93" s="377" t="e">
        <f>BS23-#REF!</f>
        <v>#REF!</v>
      </c>
      <c r="BT93" s="377" t="e">
        <f>BT23-#REF!</f>
        <v>#REF!</v>
      </c>
      <c r="BU93" s="377" t="e">
        <f>BU23-#REF!</f>
        <v>#REF!</v>
      </c>
      <c r="BV93" s="377"/>
      <c r="BW93" s="377"/>
    </row>
    <row r="94" spans="2:77" hidden="1" x14ac:dyDescent="0.2">
      <c r="M94" s="377" t="e">
        <f>M24-#REF!</f>
        <v>#REF!</v>
      </c>
      <c r="N94" s="377" t="e">
        <f>N24-#REF!</f>
        <v>#REF!</v>
      </c>
      <c r="O94" s="377" t="e">
        <f>O24-#REF!</f>
        <v>#REF!</v>
      </c>
      <c r="P94" s="377" t="e">
        <f>P24-#REF!</f>
        <v>#REF!</v>
      </c>
      <c r="Q94" s="377" t="e">
        <f>Q24-#REF!</f>
        <v>#REF!</v>
      </c>
      <c r="R94" s="377" t="e">
        <f>R24-#REF!</f>
        <v>#REF!</v>
      </c>
      <c r="S94" s="377" t="e">
        <f>S24-#REF!</f>
        <v>#REF!</v>
      </c>
      <c r="T94" s="377" t="e">
        <f>T24-#REF!</f>
        <v>#REF!</v>
      </c>
      <c r="U94" s="377" t="e">
        <f>U24-#REF!</f>
        <v>#REF!</v>
      </c>
      <c r="V94" s="377" t="e">
        <f>V24-#REF!</f>
        <v>#REF!</v>
      </c>
      <c r="W94" s="377" t="e">
        <f>W24-#REF!</f>
        <v>#REF!</v>
      </c>
      <c r="X94" s="377" t="e">
        <f>X24-#REF!</f>
        <v>#REF!</v>
      </c>
      <c r="Y94" s="377" t="e">
        <f>Y24-#REF!</f>
        <v>#REF!</v>
      </c>
      <c r="Z94" s="377" t="e">
        <f>Z24-#REF!</f>
        <v>#REF!</v>
      </c>
      <c r="AA94" s="377" t="e">
        <f>AA24-#REF!</f>
        <v>#REF!</v>
      </c>
      <c r="AB94" s="377" t="e">
        <f>AB24-#REF!</f>
        <v>#REF!</v>
      </c>
      <c r="AC94" s="377" t="e">
        <f>AC24-#REF!</f>
        <v>#REF!</v>
      </c>
      <c r="AD94" s="377" t="e">
        <f>AD24-#REF!</f>
        <v>#REF!</v>
      </c>
      <c r="AE94" s="377" t="e">
        <f>AE24-#REF!</f>
        <v>#REF!</v>
      </c>
      <c r="AF94" s="377" t="e">
        <f>AF24-#REF!</f>
        <v>#REF!</v>
      </c>
      <c r="AG94" s="377" t="e">
        <f>AG24-#REF!</f>
        <v>#REF!</v>
      </c>
      <c r="AH94" s="377" t="e">
        <f>AH24-#REF!</f>
        <v>#REF!</v>
      </c>
      <c r="AI94" s="377" t="e">
        <f>AI24-#REF!</f>
        <v>#REF!</v>
      </c>
      <c r="AJ94" s="377" t="e">
        <f>AJ24-#REF!</f>
        <v>#REF!</v>
      </c>
      <c r="AK94" s="377" t="e">
        <f>AK24-#REF!</f>
        <v>#REF!</v>
      </c>
      <c r="AL94" s="377" t="e">
        <f>AL24-#REF!</f>
        <v>#REF!</v>
      </c>
      <c r="AM94" s="377" t="e">
        <f>AM24-#REF!</f>
        <v>#REF!</v>
      </c>
      <c r="AN94" s="377" t="e">
        <f>AN24-#REF!</f>
        <v>#REF!</v>
      </c>
      <c r="AO94" s="377" t="e">
        <f>AO24-#REF!</f>
        <v>#REF!</v>
      </c>
      <c r="AP94" s="377" t="e">
        <f>AP24-#REF!</f>
        <v>#REF!</v>
      </c>
      <c r="AQ94" s="377" t="e">
        <f>AQ24-#REF!</f>
        <v>#REF!</v>
      </c>
      <c r="AR94" s="377" t="e">
        <f>AR24-#REF!</f>
        <v>#REF!</v>
      </c>
      <c r="AS94" s="377" t="e">
        <f>AS24-#REF!</f>
        <v>#REF!</v>
      </c>
      <c r="AT94" s="377" t="e">
        <f>AT24-#REF!</f>
        <v>#REF!</v>
      </c>
      <c r="AU94" s="377" t="e">
        <f>AU24-#REF!</f>
        <v>#REF!</v>
      </c>
      <c r="AV94" s="377" t="e">
        <f>AV24-#REF!</f>
        <v>#REF!</v>
      </c>
      <c r="AW94" s="377" t="e">
        <f>AW24-#REF!</f>
        <v>#REF!</v>
      </c>
      <c r="AX94" s="377" t="e">
        <f>AX24-#REF!</f>
        <v>#REF!</v>
      </c>
      <c r="AY94" s="377" t="e">
        <f>AY24-#REF!</f>
        <v>#REF!</v>
      </c>
      <c r="AZ94" s="377" t="e">
        <f>AZ24-#REF!</f>
        <v>#REF!</v>
      </c>
      <c r="BA94" s="377" t="e">
        <f>BA24-#REF!</f>
        <v>#REF!</v>
      </c>
      <c r="BB94" s="377" t="e">
        <f>BB24-#REF!</f>
        <v>#REF!</v>
      </c>
      <c r="BC94" s="377" t="e">
        <f>BC24-#REF!</f>
        <v>#REF!</v>
      </c>
      <c r="BD94" s="377" t="e">
        <f>BD24-#REF!</f>
        <v>#REF!</v>
      </c>
      <c r="BE94" s="377" t="e">
        <f>BE24-#REF!</f>
        <v>#REF!</v>
      </c>
      <c r="BF94" s="377" t="e">
        <f>BF24-#REF!</f>
        <v>#REF!</v>
      </c>
      <c r="BG94" s="377" t="e">
        <f>BG24-#REF!</f>
        <v>#REF!</v>
      </c>
      <c r="BH94" s="377" t="e">
        <f>BH24-#REF!</f>
        <v>#REF!</v>
      </c>
      <c r="BI94" s="377" t="e">
        <f>BI24-#REF!</f>
        <v>#REF!</v>
      </c>
      <c r="BJ94" s="377" t="e">
        <f>BJ24-#REF!</f>
        <v>#REF!</v>
      </c>
      <c r="BK94" s="377" t="e">
        <f>BK24-#REF!</f>
        <v>#REF!</v>
      </c>
      <c r="BL94" s="377" t="e">
        <f>BL24-#REF!</f>
        <v>#REF!</v>
      </c>
      <c r="BM94" s="377" t="e">
        <f>BM24-#REF!</f>
        <v>#REF!</v>
      </c>
      <c r="BN94" s="377" t="e">
        <f>BN24-#REF!</f>
        <v>#REF!</v>
      </c>
      <c r="BO94" s="377" t="e">
        <f>BO24-#REF!</f>
        <v>#REF!</v>
      </c>
      <c r="BP94" s="377" t="e">
        <f>BP24-#REF!</f>
        <v>#REF!</v>
      </c>
      <c r="BQ94" s="377" t="e">
        <f>BQ24-#REF!</f>
        <v>#REF!</v>
      </c>
      <c r="BR94" s="377" t="e">
        <f>BR24-#REF!</f>
        <v>#REF!</v>
      </c>
      <c r="BS94" s="377" t="e">
        <f>BS24-#REF!</f>
        <v>#REF!</v>
      </c>
      <c r="BT94" s="377" t="e">
        <f>BT24-#REF!</f>
        <v>#REF!</v>
      </c>
      <c r="BU94" s="377" t="e">
        <f>BU24-#REF!</f>
        <v>#REF!</v>
      </c>
      <c r="BV94" s="377"/>
      <c r="BW94" s="377"/>
      <c r="BY94" s="38"/>
    </row>
    <row r="95" spans="2:77" hidden="1" x14ac:dyDescent="0.2">
      <c r="M95" s="377" t="e">
        <f>M25-#REF!</f>
        <v>#REF!</v>
      </c>
      <c r="N95" s="377" t="e">
        <f>N25-#REF!</f>
        <v>#REF!</v>
      </c>
      <c r="O95" s="377" t="e">
        <f>O25-#REF!</f>
        <v>#REF!</v>
      </c>
      <c r="P95" s="377" t="e">
        <f>P25-#REF!</f>
        <v>#REF!</v>
      </c>
      <c r="Q95" s="377" t="e">
        <f>Q25-#REF!</f>
        <v>#REF!</v>
      </c>
      <c r="R95" s="377" t="e">
        <f>R25-#REF!</f>
        <v>#REF!</v>
      </c>
      <c r="S95" s="377" t="e">
        <f>S25-#REF!</f>
        <v>#REF!</v>
      </c>
      <c r="T95" s="377" t="e">
        <f>T25-#REF!</f>
        <v>#REF!</v>
      </c>
      <c r="U95" s="377" t="e">
        <f>U25-#REF!</f>
        <v>#REF!</v>
      </c>
      <c r="V95" s="377" t="e">
        <f>V25-#REF!</f>
        <v>#REF!</v>
      </c>
      <c r="W95" s="377" t="e">
        <f>W25-#REF!</f>
        <v>#REF!</v>
      </c>
      <c r="X95" s="377" t="e">
        <f>X25-#REF!</f>
        <v>#REF!</v>
      </c>
      <c r="Y95" s="377" t="e">
        <f>Y25-#REF!</f>
        <v>#REF!</v>
      </c>
      <c r="Z95" s="377" t="e">
        <f>Z25-#REF!</f>
        <v>#REF!</v>
      </c>
      <c r="AA95" s="377" t="e">
        <f>AA25-#REF!</f>
        <v>#REF!</v>
      </c>
      <c r="AB95" s="377" t="e">
        <f>AB25-#REF!</f>
        <v>#REF!</v>
      </c>
      <c r="AC95" s="377" t="e">
        <f>AC25-#REF!</f>
        <v>#REF!</v>
      </c>
      <c r="AD95" s="377" t="e">
        <f>AD25-#REF!</f>
        <v>#REF!</v>
      </c>
      <c r="AE95" s="377" t="e">
        <f>AE25-#REF!</f>
        <v>#REF!</v>
      </c>
      <c r="AF95" s="377" t="e">
        <f>AF25-#REF!</f>
        <v>#REF!</v>
      </c>
      <c r="AG95" s="377" t="e">
        <f>AG25-#REF!</f>
        <v>#REF!</v>
      </c>
      <c r="AH95" s="377" t="e">
        <f>AH25-#REF!</f>
        <v>#REF!</v>
      </c>
      <c r="AI95" s="377" t="e">
        <f>AI25-#REF!</f>
        <v>#REF!</v>
      </c>
      <c r="AJ95" s="377" t="e">
        <f>AJ25-#REF!</f>
        <v>#REF!</v>
      </c>
      <c r="AK95" s="377" t="e">
        <f>AK25-#REF!</f>
        <v>#REF!</v>
      </c>
      <c r="AL95" s="377" t="e">
        <f>AL25-#REF!</f>
        <v>#REF!</v>
      </c>
      <c r="AM95" s="377" t="e">
        <f>AM25-#REF!</f>
        <v>#REF!</v>
      </c>
      <c r="AN95" s="377" t="e">
        <f>AN25-#REF!</f>
        <v>#REF!</v>
      </c>
      <c r="AO95" s="377" t="e">
        <f>AO25-#REF!</f>
        <v>#REF!</v>
      </c>
      <c r="AP95" s="377" t="e">
        <f>AP25-#REF!</f>
        <v>#REF!</v>
      </c>
      <c r="AQ95" s="377" t="e">
        <f>AQ25-#REF!</f>
        <v>#REF!</v>
      </c>
      <c r="AR95" s="377" t="e">
        <f>AR25-#REF!</f>
        <v>#REF!</v>
      </c>
      <c r="AS95" s="377" t="e">
        <f>AS25-#REF!</f>
        <v>#REF!</v>
      </c>
      <c r="AT95" s="377" t="e">
        <f>AT25-#REF!</f>
        <v>#REF!</v>
      </c>
      <c r="AU95" s="377" t="e">
        <f>AU25-#REF!</f>
        <v>#REF!</v>
      </c>
      <c r="AV95" s="377" t="e">
        <f>AV25-#REF!</f>
        <v>#REF!</v>
      </c>
      <c r="AW95" s="377" t="e">
        <f>AW25-#REF!</f>
        <v>#REF!</v>
      </c>
      <c r="AX95" s="377" t="e">
        <f>AX25-#REF!</f>
        <v>#REF!</v>
      </c>
      <c r="AY95" s="377" t="e">
        <f>AY25-#REF!</f>
        <v>#REF!</v>
      </c>
      <c r="AZ95" s="377" t="e">
        <f>AZ25-#REF!</f>
        <v>#REF!</v>
      </c>
      <c r="BA95" s="377" t="e">
        <f>BA25-#REF!</f>
        <v>#REF!</v>
      </c>
      <c r="BB95" s="377" t="e">
        <f>BB25-#REF!</f>
        <v>#REF!</v>
      </c>
      <c r="BC95" s="377" t="e">
        <f>BC25-#REF!</f>
        <v>#REF!</v>
      </c>
      <c r="BD95" s="377" t="e">
        <f>BD25-#REF!</f>
        <v>#REF!</v>
      </c>
      <c r="BE95" s="377" t="e">
        <f>BE25-#REF!</f>
        <v>#REF!</v>
      </c>
      <c r="BF95" s="377" t="e">
        <f>BF25-#REF!</f>
        <v>#REF!</v>
      </c>
      <c r="BG95" s="377" t="e">
        <f>BG25-#REF!</f>
        <v>#REF!</v>
      </c>
      <c r="BH95" s="377" t="e">
        <f>BH25-#REF!</f>
        <v>#REF!</v>
      </c>
      <c r="BI95" s="377" t="e">
        <f>BI25-#REF!</f>
        <v>#REF!</v>
      </c>
      <c r="BJ95" s="377" t="e">
        <f>BJ25-#REF!</f>
        <v>#REF!</v>
      </c>
      <c r="BK95" s="377" t="e">
        <f>BK25-#REF!</f>
        <v>#REF!</v>
      </c>
      <c r="BL95" s="377" t="e">
        <f>BL25-#REF!</f>
        <v>#REF!</v>
      </c>
      <c r="BM95" s="377" t="e">
        <f>BM25-#REF!</f>
        <v>#REF!</v>
      </c>
      <c r="BN95" s="377" t="e">
        <f>BN25-#REF!</f>
        <v>#REF!</v>
      </c>
      <c r="BO95" s="377" t="e">
        <f>BO25-#REF!</f>
        <v>#REF!</v>
      </c>
      <c r="BP95" s="377" t="e">
        <f>BP25-#REF!</f>
        <v>#REF!</v>
      </c>
      <c r="BQ95" s="377" t="e">
        <f>BQ25-#REF!</f>
        <v>#REF!</v>
      </c>
      <c r="BR95" s="377" t="e">
        <f>BR25-#REF!</f>
        <v>#REF!</v>
      </c>
      <c r="BS95" s="377" t="e">
        <f>BS25-#REF!</f>
        <v>#REF!</v>
      </c>
      <c r="BT95" s="377" t="e">
        <f>BT25-#REF!</f>
        <v>#REF!</v>
      </c>
      <c r="BU95" s="377" t="e">
        <f>BU25-#REF!</f>
        <v>#REF!</v>
      </c>
      <c r="BV95" s="377"/>
      <c r="BW95" s="377"/>
      <c r="BY95" s="38"/>
    </row>
    <row r="96" spans="2:77" hidden="1" x14ac:dyDescent="0.2">
      <c r="M96" s="377" t="e">
        <f>M26-#REF!</f>
        <v>#REF!</v>
      </c>
      <c r="N96" s="377" t="e">
        <f>N26-#REF!</f>
        <v>#REF!</v>
      </c>
      <c r="O96" s="377" t="e">
        <f>O26-#REF!</f>
        <v>#REF!</v>
      </c>
      <c r="P96" s="377" t="e">
        <f>P26-#REF!</f>
        <v>#REF!</v>
      </c>
      <c r="Q96" s="377" t="e">
        <f>Q26-#REF!</f>
        <v>#REF!</v>
      </c>
      <c r="R96" s="377" t="e">
        <f>R26-#REF!</f>
        <v>#REF!</v>
      </c>
      <c r="S96" s="377" t="e">
        <f>S26-#REF!</f>
        <v>#REF!</v>
      </c>
      <c r="T96" s="377" t="e">
        <f>T26-#REF!</f>
        <v>#REF!</v>
      </c>
      <c r="U96" s="377" t="e">
        <f>U26-#REF!</f>
        <v>#REF!</v>
      </c>
      <c r="V96" s="377" t="e">
        <f>V26-#REF!</f>
        <v>#REF!</v>
      </c>
      <c r="W96" s="377" t="e">
        <f>W26-#REF!</f>
        <v>#REF!</v>
      </c>
      <c r="X96" s="377" t="e">
        <f>X26-#REF!</f>
        <v>#REF!</v>
      </c>
      <c r="Y96" s="377" t="e">
        <f>Y26-#REF!</f>
        <v>#REF!</v>
      </c>
      <c r="Z96" s="377" t="e">
        <f>Z26-#REF!</f>
        <v>#REF!</v>
      </c>
      <c r="AA96" s="377" t="e">
        <f>AA26-#REF!</f>
        <v>#REF!</v>
      </c>
      <c r="AB96" s="377" t="e">
        <f>AB26-#REF!</f>
        <v>#REF!</v>
      </c>
      <c r="AC96" s="377" t="e">
        <f>AC26-#REF!</f>
        <v>#REF!</v>
      </c>
      <c r="AD96" s="377" t="e">
        <f>AD26-#REF!</f>
        <v>#REF!</v>
      </c>
      <c r="AE96" s="377" t="e">
        <f>AE26-#REF!</f>
        <v>#REF!</v>
      </c>
      <c r="AF96" s="377" t="e">
        <f>AF26-#REF!</f>
        <v>#REF!</v>
      </c>
      <c r="AG96" s="377" t="e">
        <f>AG26-#REF!</f>
        <v>#REF!</v>
      </c>
      <c r="AH96" s="377" t="e">
        <f>AH26-#REF!</f>
        <v>#REF!</v>
      </c>
      <c r="AI96" s="377" t="e">
        <f>AI26-#REF!</f>
        <v>#REF!</v>
      </c>
      <c r="AJ96" s="377" t="e">
        <f>AJ26-#REF!</f>
        <v>#REF!</v>
      </c>
      <c r="AK96" s="377" t="e">
        <f>AK26-#REF!</f>
        <v>#REF!</v>
      </c>
      <c r="AL96" s="377" t="e">
        <f>AL26-#REF!</f>
        <v>#REF!</v>
      </c>
      <c r="AM96" s="377" t="e">
        <f>AM26-#REF!</f>
        <v>#REF!</v>
      </c>
      <c r="AN96" s="377" t="e">
        <f>AN26-#REF!</f>
        <v>#REF!</v>
      </c>
      <c r="AO96" s="377" t="e">
        <f>AO26-#REF!</f>
        <v>#REF!</v>
      </c>
      <c r="AP96" s="377" t="e">
        <f>AP26-#REF!</f>
        <v>#REF!</v>
      </c>
      <c r="AQ96" s="377" t="e">
        <f>AQ26-#REF!</f>
        <v>#REF!</v>
      </c>
      <c r="AR96" s="377" t="e">
        <f>AR26-#REF!</f>
        <v>#REF!</v>
      </c>
      <c r="AS96" s="377" t="e">
        <f>AS26-#REF!</f>
        <v>#REF!</v>
      </c>
      <c r="AT96" s="377" t="e">
        <f>AT26-#REF!</f>
        <v>#REF!</v>
      </c>
      <c r="AU96" s="377" t="e">
        <f>AU26-#REF!</f>
        <v>#REF!</v>
      </c>
      <c r="AV96" s="377" t="e">
        <f>AV26-#REF!</f>
        <v>#REF!</v>
      </c>
      <c r="AW96" s="377" t="e">
        <f>AW26-#REF!</f>
        <v>#REF!</v>
      </c>
      <c r="AX96" s="377" t="e">
        <f>AX26-#REF!</f>
        <v>#REF!</v>
      </c>
      <c r="AY96" s="377" t="e">
        <f>AY26-#REF!</f>
        <v>#REF!</v>
      </c>
      <c r="AZ96" s="377" t="e">
        <f>AZ26-#REF!</f>
        <v>#REF!</v>
      </c>
      <c r="BA96" s="377" t="e">
        <f>BA26-#REF!</f>
        <v>#REF!</v>
      </c>
      <c r="BB96" s="377" t="e">
        <f>BB26-#REF!</f>
        <v>#REF!</v>
      </c>
      <c r="BC96" s="377" t="e">
        <f>BC26-#REF!</f>
        <v>#REF!</v>
      </c>
      <c r="BD96" s="377" t="e">
        <f>BD26-#REF!</f>
        <v>#REF!</v>
      </c>
      <c r="BE96" s="377" t="e">
        <f>BE26-#REF!</f>
        <v>#REF!</v>
      </c>
      <c r="BF96" s="377" t="e">
        <f>BF26-#REF!</f>
        <v>#REF!</v>
      </c>
      <c r="BG96" s="377" t="e">
        <f>BG26-#REF!</f>
        <v>#REF!</v>
      </c>
      <c r="BH96" s="377" t="e">
        <f>BH26-#REF!</f>
        <v>#REF!</v>
      </c>
      <c r="BI96" s="377" t="e">
        <f>BI26-#REF!</f>
        <v>#REF!</v>
      </c>
      <c r="BJ96" s="377" t="e">
        <f>BJ26-#REF!</f>
        <v>#REF!</v>
      </c>
      <c r="BK96" s="377" t="e">
        <f>BK26-#REF!</f>
        <v>#REF!</v>
      </c>
      <c r="BL96" s="377" t="e">
        <f>BL26-#REF!</f>
        <v>#REF!</v>
      </c>
      <c r="BM96" s="377" t="e">
        <f>BM26-#REF!</f>
        <v>#REF!</v>
      </c>
      <c r="BN96" s="377" t="e">
        <f>BN26-#REF!</f>
        <v>#REF!</v>
      </c>
      <c r="BO96" s="377" t="e">
        <f>BO26-#REF!</f>
        <v>#REF!</v>
      </c>
      <c r="BP96" s="377" t="e">
        <f>BP26-#REF!</f>
        <v>#REF!</v>
      </c>
      <c r="BQ96" s="377" t="e">
        <f>BQ26-#REF!</f>
        <v>#REF!</v>
      </c>
      <c r="BR96" s="377" t="e">
        <f>BR26-#REF!</f>
        <v>#REF!</v>
      </c>
      <c r="BS96" s="377" t="e">
        <f>BS26-#REF!</f>
        <v>#REF!</v>
      </c>
      <c r="BT96" s="377" t="e">
        <f>BT26-#REF!</f>
        <v>#REF!</v>
      </c>
      <c r="BU96" s="377" t="e">
        <f>BU26-#REF!</f>
        <v>#REF!</v>
      </c>
      <c r="BV96" s="377"/>
      <c r="BW96" s="377">
        <f>-[18]domredemp!BV98</f>
        <v>0</v>
      </c>
      <c r="BY96" s="38"/>
    </row>
    <row r="97" spans="13:77" hidden="1" x14ac:dyDescent="0.2">
      <c r="M97" s="377" t="e">
        <f>#REF!-#REF!</f>
        <v>#REF!</v>
      </c>
      <c r="N97" s="377" t="e">
        <f>#REF!-#REF!</f>
        <v>#REF!</v>
      </c>
      <c r="O97" s="377" t="e">
        <f>#REF!-#REF!</f>
        <v>#REF!</v>
      </c>
      <c r="P97" s="377" t="e">
        <f>#REF!-#REF!</f>
        <v>#REF!</v>
      </c>
      <c r="Q97" s="377" t="e">
        <f>#REF!-#REF!</f>
        <v>#REF!</v>
      </c>
      <c r="R97" s="377" t="e">
        <f>#REF!-#REF!</f>
        <v>#REF!</v>
      </c>
      <c r="S97" s="377" t="e">
        <f>#REF!-#REF!</f>
        <v>#REF!</v>
      </c>
      <c r="T97" s="377" t="e">
        <f>#REF!-#REF!</f>
        <v>#REF!</v>
      </c>
      <c r="U97" s="377" t="e">
        <f>#REF!-#REF!</f>
        <v>#REF!</v>
      </c>
      <c r="V97" s="377" t="e">
        <f>#REF!-#REF!</f>
        <v>#REF!</v>
      </c>
      <c r="W97" s="377" t="e">
        <f>#REF!-#REF!</f>
        <v>#REF!</v>
      </c>
      <c r="X97" s="377" t="e">
        <f>#REF!-#REF!</f>
        <v>#REF!</v>
      </c>
      <c r="Y97" s="377" t="e">
        <f>#REF!-#REF!</f>
        <v>#REF!</v>
      </c>
      <c r="Z97" s="377" t="e">
        <f>#REF!-#REF!</f>
        <v>#REF!</v>
      </c>
      <c r="AA97" s="377" t="e">
        <f>#REF!-#REF!</f>
        <v>#REF!</v>
      </c>
      <c r="AB97" s="377" t="e">
        <f>#REF!-#REF!</f>
        <v>#REF!</v>
      </c>
      <c r="AC97" s="377" t="e">
        <f>#REF!-#REF!</f>
        <v>#REF!</v>
      </c>
      <c r="AD97" s="377" t="e">
        <f>#REF!-#REF!</f>
        <v>#REF!</v>
      </c>
      <c r="AE97" s="377" t="e">
        <f>#REF!-#REF!</f>
        <v>#REF!</v>
      </c>
      <c r="AF97" s="377" t="e">
        <f>#REF!-#REF!</f>
        <v>#REF!</v>
      </c>
      <c r="AG97" s="377" t="e">
        <f>#REF!-#REF!</f>
        <v>#REF!</v>
      </c>
      <c r="AH97" s="377" t="e">
        <f>#REF!-#REF!</f>
        <v>#REF!</v>
      </c>
      <c r="AI97" s="377" t="e">
        <f>#REF!-#REF!</f>
        <v>#REF!</v>
      </c>
      <c r="AJ97" s="377" t="e">
        <f>#REF!-#REF!</f>
        <v>#REF!</v>
      </c>
      <c r="AK97" s="377" t="e">
        <f>#REF!-#REF!</f>
        <v>#REF!</v>
      </c>
      <c r="AL97" s="377" t="e">
        <f>#REF!-#REF!</f>
        <v>#REF!</v>
      </c>
      <c r="AM97" s="377" t="e">
        <f>#REF!-#REF!</f>
        <v>#REF!</v>
      </c>
      <c r="AN97" s="377" t="e">
        <f>#REF!-#REF!</f>
        <v>#REF!</v>
      </c>
      <c r="AO97" s="377" t="e">
        <f>#REF!-#REF!</f>
        <v>#REF!</v>
      </c>
      <c r="AP97" s="377" t="e">
        <f>#REF!-#REF!</f>
        <v>#REF!</v>
      </c>
      <c r="AQ97" s="377" t="e">
        <f>#REF!-#REF!</f>
        <v>#REF!</v>
      </c>
      <c r="AR97" s="377" t="e">
        <f>#REF!-#REF!</f>
        <v>#REF!</v>
      </c>
      <c r="AS97" s="377" t="e">
        <f>#REF!-#REF!</f>
        <v>#REF!</v>
      </c>
      <c r="AT97" s="377" t="e">
        <f>#REF!-#REF!</f>
        <v>#REF!</v>
      </c>
      <c r="AU97" s="377" t="e">
        <f>#REF!-#REF!</f>
        <v>#REF!</v>
      </c>
      <c r="AV97" s="377" t="e">
        <f>#REF!-#REF!</f>
        <v>#REF!</v>
      </c>
      <c r="AW97" s="377" t="e">
        <f>#REF!-#REF!</f>
        <v>#REF!</v>
      </c>
      <c r="AX97" s="377" t="e">
        <f>#REF!-#REF!</f>
        <v>#REF!</v>
      </c>
      <c r="AY97" s="377" t="e">
        <f>#REF!-#REF!</f>
        <v>#REF!</v>
      </c>
      <c r="AZ97" s="377" t="e">
        <f>#REF!-#REF!</f>
        <v>#REF!</v>
      </c>
      <c r="BA97" s="377" t="e">
        <f>#REF!-#REF!</f>
        <v>#REF!</v>
      </c>
      <c r="BB97" s="377" t="e">
        <f>#REF!-#REF!</f>
        <v>#REF!</v>
      </c>
      <c r="BC97" s="377" t="e">
        <f>#REF!-#REF!</f>
        <v>#REF!</v>
      </c>
      <c r="BD97" s="377" t="e">
        <f>#REF!-#REF!</f>
        <v>#REF!</v>
      </c>
      <c r="BE97" s="377" t="e">
        <f>#REF!-#REF!</f>
        <v>#REF!</v>
      </c>
      <c r="BF97" s="377" t="e">
        <f>#REF!-#REF!</f>
        <v>#REF!</v>
      </c>
      <c r="BG97" s="377" t="e">
        <f>#REF!-#REF!</f>
        <v>#REF!</v>
      </c>
      <c r="BH97" s="377" t="e">
        <f>#REF!-#REF!</f>
        <v>#REF!</v>
      </c>
      <c r="BI97" s="377" t="e">
        <f>#REF!-#REF!</f>
        <v>#REF!</v>
      </c>
      <c r="BJ97" s="377" t="e">
        <f>#REF!-#REF!</f>
        <v>#REF!</v>
      </c>
      <c r="BK97" s="377" t="e">
        <f>#REF!-#REF!</f>
        <v>#REF!</v>
      </c>
      <c r="BL97" s="377" t="e">
        <f>#REF!-#REF!</f>
        <v>#REF!</v>
      </c>
      <c r="BM97" s="377" t="e">
        <f>#REF!-#REF!</f>
        <v>#REF!</v>
      </c>
      <c r="BN97" s="377" t="e">
        <f>#REF!-#REF!</f>
        <v>#REF!</v>
      </c>
      <c r="BO97" s="377" t="e">
        <f>#REF!-#REF!</f>
        <v>#REF!</v>
      </c>
      <c r="BP97" s="377" t="e">
        <f>#REF!-#REF!</f>
        <v>#REF!</v>
      </c>
      <c r="BQ97" s="377" t="e">
        <f>#REF!-#REF!</f>
        <v>#REF!</v>
      </c>
      <c r="BR97" s="377" t="e">
        <f>#REF!-#REF!</f>
        <v>#REF!</v>
      </c>
      <c r="BS97" s="377" t="e">
        <f>#REF!-#REF!</f>
        <v>#REF!</v>
      </c>
      <c r="BT97" s="377" t="e">
        <f>#REF!-#REF!</f>
        <v>#REF!</v>
      </c>
      <c r="BU97" s="377" t="e">
        <f>#REF!-#REF!</f>
        <v>#REF!</v>
      </c>
      <c r="BV97" s="377"/>
      <c r="BW97" s="377">
        <f>-[18]domredemp!BV101+[18]domredemp!BV211</f>
        <v>0</v>
      </c>
      <c r="BY97" s="38"/>
    </row>
    <row r="98" spans="13:77" hidden="1" x14ac:dyDescent="0.2">
      <c r="M98" s="377" t="e">
        <f>M27-#REF!</f>
        <v>#REF!</v>
      </c>
      <c r="N98" s="377" t="e">
        <f>N27-#REF!</f>
        <v>#REF!</v>
      </c>
      <c r="O98" s="377" t="e">
        <f>O27-#REF!</f>
        <v>#REF!</v>
      </c>
      <c r="P98" s="377" t="e">
        <f>P27-#REF!</f>
        <v>#REF!</v>
      </c>
      <c r="Q98" s="377" t="e">
        <f>Q27-#REF!</f>
        <v>#REF!</v>
      </c>
      <c r="R98" s="377" t="e">
        <f>R27-#REF!</f>
        <v>#REF!</v>
      </c>
      <c r="S98" s="377" t="e">
        <f>S27-#REF!</f>
        <v>#REF!</v>
      </c>
      <c r="T98" s="377" t="e">
        <f>T27-#REF!</f>
        <v>#REF!</v>
      </c>
      <c r="U98" s="377" t="e">
        <f>U27-#REF!</f>
        <v>#REF!</v>
      </c>
      <c r="V98" s="377" t="e">
        <f>V27-#REF!</f>
        <v>#REF!</v>
      </c>
      <c r="W98" s="377" t="e">
        <f>W27-#REF!</f>
        <v>#REF!</v>
      </c>
      <c r="X98" s="377" t="e">
        <f>X27-#REF!</f>
        <v>#REF!</v>
      </c>
      <c r="Y98" s="377" t="e">
        <f>Y27-#REF!</f>
        <v>#REF!</v>
      </c>
      <c r="Z98" s="377" t="e">
        <f>Z27-#REF!</f>
        <v>#REF!</v>
      </c>
      <c r="AA98" s="377" t="e">
        <f>AA27-#REF!</f>
        <v>#REF!</v>
      </c>
      <c r="AB98" s="377" t="e">
        <f>AB27-#REF!</f>
        <v>#REF!</v>
      </c>
      <c r="AC98" s="377" t="e">
        <f>AC27-#REF!</f>
        <v>#REF!</v>
      </c>
      <c r="AD98" s="377" t="e">
        <f>AD27-#REF!</f>
        <v>#REF!</v>
      </c>
      <c r="AE98" s="377" t="e">
        <f>AE27-#REF!</f>
        <v>#REF!</v>
      </c>
      <c r="AF98" s="377" t="e">
        <f>AF27-#REF!</f>
        <v>#REF!</v>
      </c>
      <c r="AG98" s="377" t="e">
        <f>AG27-#REF!</f>
        <v>#REF!</v>
      </c>
      <c r="AH98" s="377" t="e">
        <f>AH27-#REF!</f>
        <v>#REF!</v>
      </c>
      <c r="AI98" s="377" t="e">
        <f>AI27-#REF!</f>
        <v>#REF!</v>
      </c>
      <c r="AJ98" s="377" t="e">
        <f>AJ27-#REF!</f>
        <v>#REF!</v>
      </c>
      <c r="AK98" s="377" t="e">
        <f>AK27-#REF!</f>
        <v>#REF!</v>
      </c>
      <c r="AL98" s="377" t="e">
        <f>AL27-#REF!</f>
        <v>#REF!</v>
      </c>
      <c r="AM98" s="377" t="e">
        <f>AM27-#REF!</f>
        <v>#REF!</v>
      </c>
      <c r="AN98" s="377" t="e">
        <f>AN27-#REF!</f>
        <v>#REF!</v>
      </c>
      <c r="AO98" s="377" t="e">
        <f>AO27-#REF!</f>
        <v>#REF!</v>
      </c>
      <c r="AP98" s="377" t="e">
        <f>AP27-#REF!</f>
        <v>#REF!</v>
      </c>
      <c r="AQ98" s="377" t="e">
        <f>AQ27-#REF!</f>
        <v>#REF!</v>
      </c>
      <c r="AR98" s="377" t="e">
        <f>AR27-#REF!</f>
        <v>#REF!</v>
      </c>
      <c r="AS98" s="377" t="e">
        <f>AS27-#REF!</f>
        <v>#REF!</v>
      </c>
      <c r="AT98" s="377" t="e">
        <f>AT27-#REF!</f>
        <v>#REF!</v>
      </c>
      <c r="AU98" s="377" t="e">
        <f>AU27-#REF!</f>
        <v>#REF!</v>
      </c>
      <c r="AV98" s="377" t="e">
        <f>AV27-#REF!</f>
        <v>#REF!</v>
      </c>
      <c r="AW98" s="377" t="e">
        <f>AW27-#REF!</f>
        <v>#REF!</v>
      </c>
      <c r="AX98" s="377" t="e">
        <f>AX27-#REF!</f>
        <v>#REF!</v>
      </c>
      <c r="AY98" s="377" t="e">
        <f>AY27-#REF!</f>
        <v>#REF!</v>
      </c>
      <c r="AZ98" s="377" t="e">
        <f>AZ27-#REF!</f>
        <v>#REF!</v>
      </c>
      <c r="BA98" s="377" t="e">
        <f>BA27-#REF!</f>
        <v>#REF!</v>
      </c>
      <c r="BB98" s="377" t="e">
        <f>BB27-#REF!</f>
        <v>#REF!</v>
      </c>
      <c r="BC98" s="377" t="e">
        <f>BC27-#REF!</f>
        <v>#REF!</v>
      </c>
      <c r="BD98" s="377" t="e">
        <f>BD27-#REF!</f>
        <v>#REF!</v>
      </c>
      <c r="BE98" s="377" t="e">
        <f>BE27-#REF!</f>
        <v>#REF!</v>
      </c>
      <c r="BF98" s="377" t="e">
        <f>BF27-#REF!</f>
        <v>#REF!</v>
      </c>
      <c r="BG98" s="377" t="e">
        <f>BG27-#REF!</f>
        <v>#REF!</v>
      </c>
      <c r="BH98" s="377" t="e">
        <f>BH27-#REF!</f>
        <v>#REF!</v>
      </c>
      <c r="BI98" s="377" t="e">
        <f>BI27-#REF!</f>
        <v>#REF!</v>
      </c>
      <c r="BJ98" s="377" t="e">
        <f>BJ27-#REF!</f>
        <v>#REF!</v>
      </c>
      <c r="BK98" s="377" t="e">
        <f>BK27-#REF!</f>
        <v>#REF!</v>
      </c>
      <c r="BL98" s="377" t="e">
        <f>BL27-#REF!</f>
        <v>#REF!</v>
      </c>
      <c r="BM98" s="377" t="e">
        <f>BM27-#REF!</f>
        <v>#REF!</v>
      </c>
      <c r="BN98" s="377" t="e">
        <f>BN27-#REF!</f>
        <v>#REF!</v>
      </c>
      <c r="BO98" s="377" t="e">
        <f>BO27-#REF!</f>
        <v>#REF!</v>
      </c>
      <c r="BP98" s="377" t="e">
        <f>BP27-#REF!</f>
        <v>#REF!</v>
      </c>
      <c r="BQ98" s="377" t="e">
        <f>BQ27-#REF!</f>
        <v>#REF!</v>
      </c>
      <c r="BR98" s="377" t="e">
        <f>BR27-#REF!</f>
        <v>#REF!</v>
      </c>
      <c r="BS98" s="377" t="e">
        <f>BS27-#REF!</f>
        <v>#REF!</v>
      </c>
      <c r="BT98" s="377" t="e">
        <f>BT27-#REF!</f>
        <v>#REF!</v>
      </c>
      <c r="BU98" s="377" t="e">
        <f>BU27-#REF!</f>
        <v>#REF!</v>
      </c>
      <c r="BV98" s="377"/>
      <c r="BW98" s="377"/>
      <c r="BY98" s="38"/>
    </row>
    <row r="99" spans="13:77" hidden="1" x14ac:dyDescent="0.2">
      <c r="M99" s="377" t="e">
        <f>M28-#REF!</f>
        <v>#REF!</v>
      </c>
      <c r="N99" s="377" t="e">
        <f>N28-#REF!</f>
        <v>#REF!</v>
      </c>
      <c r="O99" s="377" t="e">
        <f>O28-#REF!</f>
        <v>#REF!</v>
      </c>
      <c r="P99" s="377" t="e">
        <f>P28-#REF!</f>
        <v>#REF!</v>
      </c>
      <c r="Q99" s="377" t="e">
        <f>Q28-#REF!</f>
        <v>#REF!</v>
      </c>
      <c r="R99" s="377" t="e">
        <f>R28-#REF!</f>
        <v>#REF!</v>
      </c>
      <c r="S99" s="377" t="e">
        <f>S28-#REF!</f>
        <v>#REF!</v>
      </c>
      <c r="T99" s="377" t="e">
        <f>T28-#REF!</f>
        <v>#REF!</v>
      </c>
      <c r="U99" s="377" t="e">
        <f>U28-#REF!</f>
        <v>#REF!</v>
      </c>
      <c r="V99" s="377" t="e">
        <f>V28-#REF!</f>
        <v>#REF!</v>
      </c>
      <c r="W99" s="377" t="e">
        <f>W28-#REF!</f>
        <v>#REF!</v>
      </c>
      <c r="X99" s="377" t="e">
        <f>X28-#REF!</f>
        <v>#REF!</v>
      </c>
      <c r="Y99" s="377" t="e">
        <f>Y28-#REF!</f>
        <v>#REF!</v>
      </c>
      <c r="Z99" s="377" t="e">
        <f>Z28-#REF!</f>
        <v>#REF!</v>
      </c>
      <c r="AA99" s="377" t="e">
        <f>AA28-#REF!</f>
        <v>#REF!</v>
      </c>
      <c r="AB99" s="377" t="e">
        <f>AB28-#REF!</f>
        <v>#REF!</v>
      </c>
      <c r="AC99" s="377" t="e">
        <f>AC28-#REF!</f>
        <v>#REF!</v>
      </c>
      <c r="AD99" s="377" t="e">
        <f>AD28-#REF!</f>
        <v>#REF!</v>
      </c>
      <c r="AE99" s="377" t="e">
        <f>AE28-#REF!</f>
        <v>#REF!</v>
      </c>
      <c r="AF99" s="377" t="e">
        <f>AF28-#REF!</f>
        <v>#REF!</v>
      </c>
      <c r="AG99" s="377" t="e">
        <f>AG28-#REF!</f>
        <v>#REF!</v>
      </c>
      <c r="AH99" s="377" t="e">
        <f>AH28-#REF!</f>
        <v>#REF!</v>
      </c>
      <c r="AI99" s="377" t="e">
        <f>AI28-#REF!</f>
        <v>#REF!</v>
      </c>
      <c r="AJ99" s="377" t="e">
        <f>AJ28-#REF!</f>
        <v>#REF!</v>
      </c>
      <c r="AK99" s="377" t="e">
        <f>AK28-#REF!</f>
        <v>#REF!</v>
      </c>
      <c r="AL99" s="377" t="e">
        <f>AL28-#REF!</f>
        <v>#REF!</v>
      </c>
      <c r="AM99" s="377" t="e">
        <f>AM28-#REF!</f>
        <v>#REF!</v>
      </c>
      <c r="AN99" s="377" t="e">
        <f>AN28-#REF!</f>
        <v>#REF!</v>
      </c>
      <c r="AO99" s="377" t="e">
        <f>AO28-#REF!</f>
        <v>#REF!</v>
      </c>
      <c r="AP99" s="377" t="e">
        <f>AP28-#REF!</f>
        <v>#REF!</v>
      </c>
      <c r="AQ99" s="377" t="e">
        <f>AQ28-#REF!</f>
        <v>#REF!</v>
      </c>
      <c r="AR99" s="377" t="e">
        <f>AR28-#REF!</f>
        <v>#REF!</v>
      </c>
      <c r="AS99" s="377" t="e">
        <f>AS28-#REF!</f>
        <v>#REF!</v>
      </c>
      <c r="AT99" s="377" t="e">
        <f>AT28-#REF!</f>
        <v>#REF!</v>
      </c>
      <c r="AU99" s="377" t="e">
        <f>AU28-#REF!</f>
        <v>#REF!</v>
      </c>
      <c r="AV99" s="377" t="e">
        <f>AV28-#REF!</f>
        <v>#REF!</v>
      </c>
      <c r="AW99" s="377" t="e">
        <f>AW28-#REF!</f>
        <v>#REF!</v>
      </c>
      <c r="AX99" s="377" t="e">
        <f>AX28-#REF!</f>
        <v>#REF!</v>
      </c>
      <c r="AY99" s="377" t="e">
        <f>AY28-#REF!</f>
        <v>#REF!</v>
      </c>
      <c r="AZ99" s="377" t="e">
        <f>AZ28-#REF!</f>
        <v>#REF!</v>
      </c>
      <c r="BA99" s="377" t="e">
        <f>BA28-#REF!</f>
        <v>#REF!</v>
      </c>
      <c r="BB99" s="377" t="e">
        <f>BB28-#REF!</f>
        <v>#REF!</v>
      </c>
      <c r="BC99" s="377" t="e">
        <f>BC28-#REF!</f>
        <v>#REF!</v>
      </c>
      <c r="BD99" s="377" t="e">
        <f>BD28-#REF!</f>
        <v>#REF!</v>
      </c>
      <c r="BE99" s="377" t="e">
        <f>BE28-#REF!</f>
        <v>#REF!</v>
      </c>
      <c r="BF99" s="377" t="e">
        <f>BF28-#REF!</f>
        <v>#REF!</v>
      </c>
      <c r="BG99" s="377" t="e">
        <f>BG28-#REF!</f>
        <v>#REF!</v>
      </c>
      <c r="BH99" s="377" t="e">
        <f>BH28-#REF!</f>
        <v>#REF!</v>
      </c>
      <c r="BI99" s="377" t="e">
        <f>BI28-#REF!</f>
        <v>#REF!</v>
      </c>
      <c r="BJ99" s="377" t="e">
        <f>BJ28-#REF!</f>
        <v>#REF!</v>
      </c>
      <c r="BK99" s="377" t="e">
        <f>BK28-#REF!</f>
        <v>#REF!</v>
      </c>
      <c r="BL99" s="377" t="e">
        <f>BL28-#REF!</f>
        <v>#REF!</v>
      </c>
      <c r="BM99" s="377" t="e">
        <f>BM28-#REF!</f>
        <v>#REF!</v>
      </c>
      <c r="BN99" s="377" t="e">
        <f>BN28-#REF!</f>
        <v>#REF!</v>
      </c>
      <c r="BO99" s="377" t="e">
        <f>BO28-#REF!</f>
        <v>#REF!</v>
      </c>
      <c r="BP99" s="377" t="e">
        <f>BP28-#REF!</f>
        <v>#REF!</v>
      </c>
      <c r="BQ99" s="377" t="e">
        <f>BQ28-#REF!</f>
        <v>#REF!</v>
      </c>
      <c r="BR99" s="377" t="e">
        <f>BR28-#REF!</f>
        <v>#REF!</v>
      </c>
      <c r="BS99" s="377" t="e">
        <f>BS28-#REF!</f>
        <v>#REF!</v>
      </c>
      <c r="BT99" s="377" t="e">
        <f>BT28-#REF!</f>
        <v>#REF!</v>
      </c>
      <c r="BU99" s="377" t="e">
        <f>BU28-#REF!</f>
        <v>#REF!</v>
      </c>
      <c r="BV99" s="377"/>
      <c r="BW99" s="377">
        <f>SUM(BW100:BW102)</f>
        <v>0</v>
      </c>
      <c r="BY99" s="38"/>
    </row>
    <row r="100" spans="13:77" hidden="1" x14ac:dyDescent="0.2">
      <c r="M100" s="377" t="e">
        <f>M29-#REF!</f>
        <v>#REF!</v>
      </c>
      <c r="N100" s="377" t="e">
        <f>N29-#REF!</f>
        <v>#REF!</v>
      </c>
      <c r="O100" s="377" t="e">
        <f>O29-#REF!</f>
        <v>#REF!</v>
      </c>
      <c r="P100" s="377" t="e">
        <f>P29-#REF!</f>
        <v>#REF!</v>
      </c>
      <c r="Q100" s="377" t="e">
        <f>Q29-#REF!</f>
        <v>#REF!</v>
      </c>
      <c r="R100" s="377" t="e">
        <f>R29-#REF!</f>
        <v>#REF!</v>
      </c>
      <c r="S100" s="377" t="e">
        <f>S29-#REF!</f>
        <v>#REF!</v>
      </c>
      <c r="T100" s="377" t="e">
        <f>T29-#REF!</f>
        <v>#REF!</v>
      </c>
      <c r="U100" s="377" t="e">
        <f>U29-#REF!</f>
        <v>#REF!</v>
      </c>
      <c r="V100" s="377" t="e">
        <f>V29-#REF!</f>
        <v>#REF!</v>
      </c>
      <c r="W100" s="377" t="e">
        <f>W29-#REF!</f>
        <v>#REF!</v>
      </c>
      <c r="X100" s="377" t="e">
        <f>X29-#REF!</f>
        <v>#REF!</v>
      </c>
      <c r="Y100" s="377" t="e">
        <f>Y29-#REF!</f>
        <v>#REF!</v>
      </c>
      <c r="Z100" s="377" t="e">
        <f>Z29-#REF!</f>
        <v>#REF!</v>
      </c>
      <c r="AA100" s="377" t="e">
        <f>AA29-#REF!</f>
        <v>#REF!</v>
      </c>
      <c r="AB100" s="377" t="e">
        <f>AB29-#REF!</f>
        <v>#REF!</v>
      </c>
      <c r="AC100" s="377" t="e">
        <f>AC29-#REF!</f>
        <v>#REF!</v>
      </c>
      <c r="AD100" s="377" t="e">
        <f>AD29-#REF!</f>
        <v>#REF!</v>
      </c>
      <c r="AE100" s="377" t="e">
        <f>AE29-#REF!</f>
        <v>#REF!</v>
      </c>
      <c r="AF100" s="377" t="e">
        <f>AF29-#REF!</f>
        <v>#REF!</v>
      </c>
      <c r="AG100" s="377" t="e">
        <f>AG29-#REF!</f>
        <v>#REF!</v>
      </c>
      <c r="AH100" s="377" t="e">
        <f>AH29-#REF!</f>
        <v>#REF!</v>
      </c>
      <c r="AI100" s="377" t="e">
        <f>AI29-#REF!</f>
        <v>#REF!</v>
      </c>
      <c r="AJ100" s="377" t="e">
        <f>AJ29-#REF!</f>
        <v>#REF!</v>
      </c>
      <c r="AK100" s="377" t="e">
        <f>AK29-#REF!</f>
        <v>#REF!</v>
      </c>
      <c r="AL100" s="377" t="e">
        <f>AL29-#REF!</f>
        <v>#REF!</v>
      </c>
      <c r="AM100" s="377" t="e">
        <f>AM29-#REF!</f>
        <v>#REF!</v>
      </c>
      <c r="AN100" s="377" t="e">
        <f>AN29-#REF!</f>
        <v>#REF!</v>
      </c>
      <c r="AO100" s="377" t="e">
        <f>AO29-#REF!</f>
        <v>#REF!</v>
      </c>
      <c r="AP100" s="377" t="e">
        <f>AP29-#REF!</f>
        <v>#REF!</v>
      </c>
      <c r="AQ100" s="377" t="e">
        <f>AQ29-#REF!</f>
        <v>#REF!</v>
      </c>
      <c r="AR100" s="377" t="e">
        <f>AR29-#REF!</f>
        <v>#REF!</v>
      </c>
      <c r="AS100" s="377" t="e">
        <f>AS29-#REF!</f>
        <v>#REF!</v>
      </c>
      <c r="AT100" s="377" t="e">
        <f>AT29-#REF!</f>
        <v>#REF!</v>
      </c>
      <c r="AU100" s="377" t="e">
        <f>AU29-#REF!</f>
        <v>#REF!</v>
      </c>
      <c r="AV100" s="377" t="e">
        <f>AV29-#REF!</f>
        <v>#REF!</v>
      </c>
      <c r="AW100" s="377" t="e">
        <f>AW29-#REF!</f>
        <v>#REF!</v>
      </c>
      <c r="AX100" s="377" t="e">
        <f>AX29-#REF!</f>
        <v>#REF!</v>
      </c>
      <c r="AY100" s="377" t="e">
        <f>AY29-#REF!</f>
        <v>#REF!</v>
      </c>
      <c r="AZ100" s="377" t="e">
        <f>AZ29-#REF!</f>
        <v>#REF!</v>
      </c>
      <c r="BA100" s="377" t="e">
        <f>BA29-#REF!</f>
        <v>#REF!</v>
      </c>
      <c r="BB100" s="377" t="e">
        <f>BB29-#REF!</f>
        <v>#REF!</v>
      </c>
      <c r="BC100" s="377" t="e">
        <f>BC29-#REF!</f>
        <v>#REF!</v>
      </c>
      <c r="BD100" s="377" t="e">
        <f>BD29-#REF!</f>
        <v>#REF!</v>
      </c>
      <c r="BE100" s="377" t="e">
        <f>BE29-#REF!</f>
        <v>#REF!</v>
      </c>
      <c r="BF100" s="377" t="e">
        <f>BF29-#REF!</f>
        <v>#REF!</v>
      </c>
      <c r="BG100" s="377" t="e">
        <f>BG29-#REF!</f>
        <v>#REF!</v>
      </c>
      <c r="BH100" s="377" t="e">
        <f>BH29-#REF!</f>
        <v>#REF!</v>
      </c>
      <c r="BI100" s="377" t="e">
        <f>BI29-#REF!</f>
        <v>#REF!</v>
      </c>
      <c r="BJ100" s="377" t="e">
        <f>BJ29-#REF!</f>
        <v>#REF!</v>
      </c>
      <c r="BK100" s="377" t="e">
        <f>BK29-#REF!</f>
        <v>#REF!</v>
      </c>
      <c r="BL100" s="377" t="e">
        <f>BL29-#REF!</f>
        <v>#REF!</v>
      </c>
      <c r="BM100" s="377" t="e">
        <f>BM29-#REF!</f>
        <v>#REF!</v>
      </c>
      <c r="BN100" s="377" t="e">
        <f>BN29-#REF!</f>
        <v>#REF!</v>
      </c>
      <c r="BO100" s="377" t="e">
        <f>BO29-#REF!</f>
        <v>#REF!</v>
      </c>
      <c r="BP100" s="377" t="e">
        <f>BP29-#REF!</f>
        <v>#REF!</v>
      </c>
      <c r="BQ100" s="377" t="e">
        <f>BQ29-#REF!</f>
        <v>#REF!</v>
      </c>
      <c r="BR100" s="377" t="e">
        <f>BR29-#REF!</f>
        <v>#REF!</v>
      </c>
      <c r="BS100" s="377" t="e">
        <f>BS29-#REF!</f>
        <v>#REF!</v>
      </c>
      <c r="BT100" s="377" t="e">
        <f>BT29-#REF!</f>
        <v>#REF!</v>
      </c>
      <c r="BU100" s="377" t="e">
        <f>BU29-#REF!</f>
        <v>#REF!</v>
      </c>
      <c r="BV100" s="377"/>
      <c r="BW100" s="377">
        <f>[18]domlongtermissues!BV97</f>
        <v>0</v>
      </c>
      <c r="BY100" s="38"/>
    </row>
    <row r="101" spans="13:77" hidden="1" x14ac:dyDescent="0.2">
      <c r="M101" s="377" t="e">
        <f>M30-#REF!</f>
        <v>#REF!</v>
      </c>
      <c r="N101" s="377" t="e">
        <f>N30-#REF!</f>
        <v>#REF!</v>
      </c>
      <c r="O101" s="377" t="e">
        <f>O30-#REF!</f>
        <v>#REF!</v>
      </c>
      <c r="P101" s="377" t="e">
        <f>P30-#REF!</f>
        <v>#REF!</v>
      </c>
      <c r="Q101" s="377" t="e">
        <f>Q30-#REF!</f>
        <v>#REF!</v>
      </c>
      <c r="R101" s="377" t="e">
        <f>R30-#REF!</f>
        <v>#REF!</v>
      </c>
      <c r="S101" s="377" t="e">
        <f>S30-#REF!</f>
        <v>#REF!</v>
      </c>
      <c r="T101" s="377" t="e">
        <f>T30-#REF!</f>
        <v>#REF!</v>
      </c>
      <c r="U101" s="377" t="e">
        <f>U30-#REF!</f>
        <v>#REF!</v>
      </c>
      <c r="V101" s="377" t="e">
        <f>V30-#REF!</f>
        <v>#REF!</v>
      </c>
      <c r="W101" s="377" t="e">
        <f>W30-#REF!</f>
        <v>#REF!</v>
      </c>
      <c r="X101" s="377" t="e">
        <f>X30-#REF!</f>
        <v>#REF!</v>
      </c>
      <c r="Y101" s="377" t="e">
        <f>Y30-#REF!</f>
        <v>#REF!</v>
      </c>
      <c r="Z101" s="377" t="e">
        <f>Z30-#REF!</f>
        <v>#REF!</v>
      </c>
      <c r="AA101" s="377" t="e">
        <f>AA30-#REF!</f>
        <v>#REF!</v>
      </c>
      <c r="AB101" s="377" t="e">
        <f>AB30-#REF!</f>
        <v>#REF!</v>
      </c>
      <c r="AC101" s="377" t="e">
        <f>AC30-#REF!</f>
        <v>#REF!</v>
      </c>
      <c r="AD101" s="377" t="e">
        <f>AD30-#REF!</f>
        <v>#REF!</v>
      </c>
      <c r="AE101" s="377" t="e">
        <f>AE30-#REF!</f>
        <v>#REF!</v>
      </c>
      <c r="AF101" s="377" t="e">
        <f>AF30-#REF!</f>
        <v>#REF!</v>
      </c>
      <c r="AG101" s="377" t="e">
        <f>AG30-#REF!</f>
        <v>#REF!</v>
      </c>
      <c r="AH101" s="377" t="e">
        <f>AH30-#REF!</f>
        <v>#REF!</v>
      </c>
      <c r="AI101" s="377" t="e">
        <f>AI30-#REF!</f>
        <v>#REF!</v>
      </c>
      <c r="AJ101" s="377" t="e">
        <f>AJ30-#REF!</f>
        <v>#REF!</v>
      </c>
      <c r="AK101" s="377" t="e">
        <f>AK30-#REF!</f>
        <v>#REF!</v>
      </c>
      <c r="AL101" s="377" t="e">
        <f>AL30-#REF!</f>
        <v>#REF!</v>
      </c>
      <c r="AM101" s="377" t="e">
        <f>AM30-#REF!</f>
        <v>#REF!</v>
      </c>
      <c r="AN101" s="377" t="e">
        <f>AN30-#REF!</f>
        <v>#REF!</v>
      </c>
      <c r="AO101" s="377" t="e">
        <f>AO30-#REF!</f>
        <v>#REF!</v>
      </c>
      <c r="AP101" s="377" t="e">
        <f>AP30-#REF!</f>
        <v>#REF!</v>
      </c>
      <c r="AQ101" s="377" t="e">
        <f>AQ30-#REF!</f>
        <v>#REF!</v>
      </c>
      <c r="AR101" s="377" t="e">
        <f>AR30-#REF!</f>
        <v>#REF!</v>
      </c>
      <c r="AS101" s="377" t="e">
        <f>AS30-#REF!</f>
        <v>#REF!</v>
      </c>
      <c r="AT101" s="377" t="e">
        <f>AT30-#REF!</f>
        <v>#REF!</v>
      </c>
      <c r="AU101" s="377" t="e">
        <f>AU30-#REF!</f>
        <v>#REF!</v>
      </c>
      <c r="AV101" s="377" t="e">
        <f>AV30-#REF!</f>
        <v>#REF!</v>
      </c>
      <c r="AW101" s="377" t="e">
        <f>AW30-#REF!</f>
        <v>#REF!</v>
      </c>
      <c r="AX101" s="377" t="e">
        <f>AX30-#REF!</f>
        <v>#REF!</v>
      </c>
      <c r="AY101" s="377" t="e">
        <f>AY30-#REF!</f>
        <v>#REF!</v>
      </c>
      <c r="AZ101" s="377" t="e">
        <f>AZ30-#REF!</f>
        <v>#REF!</v>
      </c>
      <c r="BA101" s="377" t="e">
        <f>BA30-#REF!</f>
        <v>#REF!</v>
      </c>
      <c r="BB101" s="377" t="e">
        <f>BB30-#REF!</f>
        <v>#REF!</v>
      </c>
      <c r="BC101" s="377" t="e">
        <f>BC30-#REF!</f>
        <v>#REF!</v>
      </c>
      <c r="BD101" s="377" t="e">
        <f>BD30-#REF!</f>
        <v>#REF!</v>
      </c>
      <c r="BE101" s="377" t="e">
        <f>BE30-#REF!</f>
        <v>#REF!</v>
      </c>
      <c r="BF101" s="377" t="e">
        <f>BF30-#REF!</f>
        <v>#REF!</v>
      </c>
      <c r="BG101" s="377" t="e">
        <f>BG30-#REF!</f>
        <v>#REF!</v>
      </c>
      <c r="BH101" s="377" t="e">
        <f>BH30-#REF!</f>
        <v>#REF!</v>
      </c>
      <c r="BI101" s="377" t="e">
        <f>BI30-#REF!</f>
        <v>#REF!</v>
      </c>
      <c r="BJ101" s="377" t="e">
        <f>BJ30-#REF!</f>
        <v>#REF!</v>
      </c>
      <c r="BK101" s="377" t="e">
        <f>BK30-#REF!</f>
        <v>#REF!</v>
      </c>
      <c r="BL101" s="377" t="e">
        <f>BL30-#REF!</f>
        <v>#REF!</v>
      </c>
      <c r="BM101" s="377" t="e">
        <f>BM30-#REF!</f>
        <v>#REF!</v>
      </c>
      <c r="BN101" s="377" t="e">
        <f>BN30-#REF!</f>
        <v>#REF!</v>
      </c>
      <c r="BO101" s="377" t="e">
        <f>BO30-#REF!</f>
        <v>#REF!</v>
      </c>
      <c r="BP101" s="377" t="e">
        <f>BP30-#REF!</f>
        <v>#REF!</v>
      </c>
      <c r="BQ101" s="377" t="e">
        <f>BQ30-#REF!</f>
        <v>#REF!</v>
      </c>
      <c r="BR101" s="377" t="e">
        <f>BR30-#REF!</f>
        <v>#REF!</v>
      </c>
      <c r="BS101" s="377" t="e">
        <f>BS30-#REF!</f>
        <v>#REF!</v>
      </c>
      <c r="BT101" s="377" t="e">
        <f>BT30-#REF!</f>
        <v>#REF!</v>
      </c>
      <c r="BU101" s="377" t="e">
        <f>BU30-#REF!</f>
        <v>#REF!</v>
      </c>
      <c r="BV101" s="377"/>
      <c r="BW101" s="377">
        <f>-[18]domlongtermissues!BV288</f>
        <v>0</v>
      </c>
      <c r="BY101" s="38"/>
    </row>
    <row r="102" spans="13:77" hidden="1" x14ac:dyDescent="0.2">
      <c r="M102" s="377" t="e">
        <f>M31-#REF!</f>
        <v>#REF!</v>
      </c>
      <c r="N102" s="377" t="e">
        <f>N31-#REF!</f>
        <v>#REF!</v>
      </c>
      <c r="O102" s="377" t="e">
        <f>O31-#REF!</f>
        <v>#REF!</v>
      </c>
      <c r="P102" s="377" t="e">
        <f>P31-#REF!</f>
        <v>#REF!</v>
      </c>
      <c r="Q102" s="377" t="e">
        <f>Q31-#REF!</f>
        <v>#REF!</v>
      </c>
      <c r="R102" s="377" t="e">
        <f>R31-#REF!</f>
        <v>#REF!</v>
      </c>
      <c r="S102" s="377" t="e">
        <f>S31-#REF!</f>
        <v>#REF!</v>
      </c>
      <c r="T102" s="377" t="e">
        <f>T31-#REF!</f>
        <v>#REF!</v>
      </c>
      <c r="U102" s="377" t="e">
        <f>U31-#REF!</f>
        <v>#REF!</v>
      </c>
      <c r="V102" s="377" t="e">
        <f>V31-#REF!</f>
        <v>#REF!</v>
      </c>
      <c r="W102" s="377" t="e">
        <f>W31-#REF!</f>
        <v>#REF!</v>
      </c>
      <c r="X102" s="377" t="e">
        <f>X31-#REF!</f>
        <v>#REF!</v>
      </c>
      <c r="Y102" s="377" t="e">
        <f>Y31-#REF!</f>
        <v>#REF!</v>
      </c>
      <c r="Z102" s="377" t="e">
        <f>Z31-#REF!</f>
        <v>#REF!</v>
      </c>
      <c r="AA102" s="377" t="e">
        <f>AA31-#REF!</f>
        <v>#REF!</v>
      </c>
      <c r="AB102" s="377" t="e">
        <f>AB31-#REF!</f>
        <v>#REF!</v>
      </c>
      <c r="AC102" s="377" t="e">
        <f>AC31-#REF!</f>
        <v>#REF!</v>
      </c>
      <c r="AD102" s="377" t="e">
        <f>AD31-#REF!</f>
        <v>#REF!</v>
      </c>
      <c r="AE102" s="377" t="e">
        <f>AE31-#REF!</f>
        <v>#REF!</v>
      </c>
      <c r="AF102" s="377" t="e">
        <f>AF31-#REF!</f>
        <v>#REF!</v>
      </c>
      <c r="AG102" s="377" t="e">
        <f>AG31-#REF!</f>
        <v>#REF!</v>
      </c>
      <c r="AH102" s="377" t="e">
        <f>AH31-#REF!</f>
        <v>#REF!</v>
      </c>
      <c r="AI102" s="377" t="e">
        <f>AI31-#REF!</f>
        <v>#REF!</v>
      </c>
      <c r="AJ102" s="377" t="e">
        <f>AJ31-#REF!</f>
        <v>#REF!</v>
      </c>
      <c r="AK102" s="377" t="e">
        <f>AK31-#REF!</f>
        <v>#REF!</v>
      </c>
      <c r="AL102" s="377" t="e">
        <f>AL31-#REF!</f>
        <v>#REF!</v>
      </c>
      <c r="AM102" s="377" t="e">
        <f>AM31-#REF!</f>
        <v>#REF!</v>
      </c>
      <c r="AN102" s="377" t="e">
        <f>AN31-#REF!</f>
        <v>#REF!</v>
      </c>
      <c r="AO102" s="377" t="e">
        <f>AO31-#REF!</f>
        <v>#REF!</v>
      </c>
      <c r="AP102" s="377" t="e">
        <f>AP31-#REF!</f>
        <v>#REF!</v>
      </c>
      <c r="AQ102" s="377" t="e">
        <f>AQ31-#REF!</f>
        <v>#REF!</v>
      </c>
      <c r="AR102" s="377" t="e">
        <f>AR31-#REF!</f>
        <v>#REF!</v>
      </c>
      <c r="AS102" s="377" t="e">
        <f>AS31-#REF!</f>
        <v>#REF!</v>
      </c>
      <c r="AT102" s="377" t="e">
        <f>AT31-#REF!</f>
        <v>#REF!</v>
      </c>
      <c r="AU102" s="377" t="e">
        <f>AU31-#REF!</f>
        <v>#REF!</v>
      </c>
      <c r="AV102" s="377" t="e">
        <f>AV31-#REF!</f>
        <v>#REF!</v>
      </c>
      <c r="AW102" s="377" t="e">
        <f>AW31-#REF!</f>
        <v>#REF!</v>
      </c>
      <c r="AX102" s="377" t="e">
        <f>AX31-#REF!</f>
        <v>#REF!</v>
      </c>
      <c r="AY102" s="377" t="e">
        <f>AY31-#REF!</f>
        <v>#REF!</v>
      </c>
      <c r="AZ102" s="377" t="e">
        <f>AZ31-#REF!</f>
        <v>#REF!</v>
      </c>
      <c r="BA102" s="377" t="e">
        <f>BA31-#REF!</f>
        <v>#REF!</v>
      </c>
      <c r="BB102" s="377" t="e">
        <f>BB31-#REF!</f>
        <v>#REF!</v>
      </c>
      <c r="BC102" s="377" t="e">
        <f>BC31-#REF!</f>
        <v>#REF!</v>
      </c>
      <c r="BD102" s="377" t="e">
        <f>BD31-#REF!</f>
        <v>#REF!</v>
      </c>
      <c r="BE102" s="377" t="e">
        <f>BE31-#REF!</f>
        <v>#REF!</v>
      </c>
      <c r="BF102" s="377" t="e">
        <f>BF31-#REF!</f>
        <v>#REF!</v>
      </c>
      <c r="BG102" s="377" t="e">
        <f>BG31-#REF!</f>
        <v>#REF!</v>
      </c>
      <c r="BH102" s="377" t="e">
        <f>BH31-#REF!</f>
        <v>#REF!</v>
      </c>
      <c r="BI102" s="377" t="e">
        <f>BI31-#REF!</f>
        <v>#REF!</v>
      </c>
      <c r="BJ102" s="377" t="e">
        <f>BJ31-#REF!</f>
        <v>#REF!</v>
      </c>
      <c r="BK102" s="377" t="e">
        <f>BK31-#REF!</f>
        <v>#REF!</v>
      </c>
      <c r="BL102" s="377" t="e">
        <f>BL31-#REF!</f>
        <v>#REF!</v>
      </c>
      <c r="BM102" s="377" t="e">
        <f>BM31-#REF!</f>
        <v>#REF!</v>
      </c>
      <c r="BN102" s="377" t="e">
        <f>BN31-#REF!</f>
        <v>#REF!</v>
      </c>
      <c r="BO102" s="377" t="e">
        <f>BO31-#REF!</f>
        <v>#REF!</v>
      </c>
      <c r="BP102" s="377" t="e">
        <f>BP31-#REF!</f>
        <v>#REF!</v>
      </c>
      <c r="BQ102" s="377" t="e">
        <f>BQ31-#REF!</f>
        <v>#REF!</v>
      </c>
      <c r="BR102" s="377" t="e">
        <f>BR31-#REF!</f>
        <v>#REF!</v>
      </c>
      <c r="BS102" s="377" t="e">
        <f>BS31-#REF!</f>
        <v>#REF!</v>
      </c>
      <c r="BT102" s="377" t="e">
        <f>BT31-#REF!</f>
        <v>#REF!</v>
      </c>
      <c r="BU102" s="377" t="e">
        <f>BU31-#REF!</f>
        <v>#REF!</v>
      </c>
      <c r="BV102" s="377"/>
      <c r="BW102" s="377">
        <f>-[18]domredemp!BV99+[18]domredemp!BV119</f>
        <v>0</v>
      </c>
      <c r="BY102" s="38"/>
    </row>
    <row r="103" spans="13:77" hidden="1" x14ac:dyDescent="0.2">
      <c r="M103" s="377" t="e">
        <f>M32-#REF!</f>
        <v>#REF!</v>
      </c>
      <c r="N103" s="377" t="e">
        <f>N32-#REF!</f>
        <v>#REF!</v>
      </c>
      <c r="O103" s="377" t="e">
        <f>O32-#REF!</f>
        <v>#REF!</v>
      </c>
      <c r="P103" s="377" t="e">
        <f>P32-#REF!</f>
        <v>#REF!</v>
      </c>
      <c r="Q103" s="377" t="e">
        <f>Q32-#REF!</f>
        <v>#REF!</v>
      </c>
      <c r="R103" s="377" t="e">
        <f>R32-#REF!</f>
        <v>#REF!</v>
      </c>
      <c r="S103" s="377" t="e">
        <f>S32-#REF!</f>
        <v>#REF!</v>
      </c>
      <c r="T103" s="377" t="e">
        <f>T32-#REF!</f>
        <v>#REF!</v>
      </c>
      <c r="U103" s="377" t="e">
        <f>U32-#REF!</f>
        <v>#REF!</v>
      </c>
      <c r="V103" s="377" t="e">
        <f>V32-#REF!</f>
        <v>#REF!</v>
      </c>
      <c r="W103" s="377" t="e">
        <f>W32-#REF!</f>
        <v>#REF!</v>
      </c>
      <c r="X103" s="377" t="e">
        <f>X32-#REF!</f>
        <v>#REF!</v>
      </c>
      <c r="Y103" s="377" t="e">
        <f>Y32-#REF!</f>
        <v>#REF!</v>
      </c>
      <c r="Z103" s="377" t="e">
        <f>Z32-#REF!</f>
        <v>#REF!</v>
      </c>
      <c r="AA103" s="377" t="e">
        <f>AA32-#REF!</f>
        <v>#REF!</v>
      </c>
      <c r="AB103" s="377" t="e">
        <f>AB32-#REF!</f>
        <v>#REF!</v>
      </c>
      <c r="AC103" s="377" t="e">
        <f>AC32-#REF!</f>
        <v>#REF!</v>
      </c>
      <c r="AD103" s="377" t="e">
        <f>AD32-#REF!</f>
        <v>#REF!</v>
      </c>
      <c r="AE103" s="377" t="e">
        <f>AE32-#REF!</f>
        <v>#REF!</v>
      </c>
      <c r="AF103" s="377" t="e">
        <f>AF32-#REF!</f>
        <v>#REF!</v>
      </c>
      <c r="AG103" s="377" t="e">
        <f>AG32-#REF!</f>
        <v>#REF!</v>
      </c>
      <c r="AH103" s="377" t="e">
        <f>AH32-#REF!</f>
        <v>#REF!</v>
      </c>
      <c r="AI103" s="377" t="e">
        <f>AI32-#REF!</f>
        <v>#REF!</v>
      </c>
      <c r="AJ103" s="377" t="e">
        <f>AJ32-#REF!</f>
        <v>#REF!</v>
      </c>
      <c r="AK103" s="377" t="e">
        <f>AK32-#REF!</f>
        <v>#REF!</v>
      </c>
      <c r="AL103" s="377" t="e">
        <f>AL32-#REF!</f>
        <v>#REF!</v>
      </c>
      <c r="AM103" s="377" t="e">
        <f>AM32-#REF!</f>
        <v>#REF!</v>
      </c>
      <c r="AN103" s="377" t="e">
        <f>AN32-#REF!</f>
        <v>#REF!</v>
      </c>
      <c r="AO103" s="377" t="e">
        <f>AO32-#REF!</f>
        <v>#REF!</v>
      </c>
      <c r="AP103" s="377" t="e">
        <f>AP32-#REF!</f>
        <v>#REF!</v>
      </c>
      <c r="AQ103" s="377" t="e">
        <f>AQ32-#REF!</f>
        <v>#REF!</v>
      </c>
      <c r="AR103" s="377" t="e">
        <f>AR32-#REF!</f>
        <v>#REF!</v>
      </c>
      <c r="AS103" s="377" t="e">
        <f>AS32-#REF!</f>
        <v>#REF!</v>
      </c>
      <c r="AT103" s="377" t="e">
        <f>AT32-#REF!</f>
        <v>#REF!</v>
      </c>
      <c r="AU103" s="377" t="e">
        <f>AU32-#REF!</f>
        <v>#REF!</v>
      </c>
      <c r="AV103" s="377" t="e">
        <f>AV32-#REF!</f>
        <v>#REF!</v>
      </c>
      <c r="AW103" s="377" t="e">
        <f>AW32-#REF!</f>
        <v>#REF!</v>
      </c>
      <c r="AX103" s="377" t="e">
        <f>AX32-#REF!</f>
        <v>#REF!</v>
      </c>
      <c r="AY103" s="377" t="e">
        <f>AY32-#REF!</f>
        <v>#REF!</v>
      </c>
      <c r="AZ103" s="377" t="e">
        <f>AZ32-#REF!</f>
        <v>#REF!</v>
      </c>
      <c r="BA103" s="377" t="e">
        <f>BA32-#REF!</f>
        <v>#REF!</v>
      </c>
      <c r="BB103" s="377" t="e">
        <f>BB32-#REF!</f>
        <v>#REF!</v>
      </c>
      <c r="BC103" s="377" t="e">
        <f>BC32-#REF!</f>
        <v>#REF!</v>
      </c>
      <c r="BD103" s="377" t="e">
        <f>BD32-#REF!</f>
        <v>#REF!</v>
      </c>
      <c r="BE103" s="377" t="e">
        <f>BE32-#REF!</f>
        <v>#REF!</v>
      </c>
      <c r="BF103" s="377" t="e">
        <f>BF32-#REF!</f>
        <v>#REF!</v>
      </c>
      <c r="BG103" s="377" t="e">
        <f>BG32-#REF!</f>
        <v>#REF!</v>
      </c>
      <c r="BH103" s="377" t="e">
        <f>BH32-#REF!</f>
        <v>#REF!</v>
      </c>
      <c r="BI103" s="377" t="e">
        <f>BI32-#REF!</f>
        <v>#REF!</v>
      </c>
      <c r="BJ103" s="377" t="e">
        <f>BJ32-#REF!</f>
        <v>#REF!</v>
      </c>
      <c r="BK103" s="377" t="e">
        <f>BK32-#REF!</f>
        <v>#REF!</v>
      </c>
      <c r="BL103" s="377" t="e">
        <f>BL32-#REF!</f>
        <v>#REF!</v>
      </c>
      <c r="BM103" s="377" t="e">
        <f>BM32-#REF!</f>
        <v>#REF!</v>
      </c>
      <c r="BN103" s="377" t="e">
        <f>BN32-#REF!</f>
        <v>#REF!</v>
      </c>
      <c r="BO103" s="377" t="e">
        <f>BO32-#REF!</f>
        <v>#REF!</v>
      </c>
      <c r="BP103" s="377" t="e">
        <f>BP32-#REF!</f>
        <v>#REF!</v>
      </c>
      <c r="BQ103" s="377" t="e">
        <f>BQ32-#REF!</f>
        <v>#REF!</v>
      </c>
      <c r="BR103" s="377" t="e">
        <f>BR32-#REF!</f>
        <v>#REF!</v>
      </c>
      <c r="BS103" s="377" t="e">
        <f>BS32-#REF!</f>
        <v>#REF!</v>
      </c>
      <c r="BT103" s="377" t="e">
        <f>BT32-#REF!</f>
        <v>#REF!</v>
      </c>
      <c r="BU103" s="377" t="e">
        <f>BU32-#REF!</f>
        <v>#REF!</v>
      </c>
      <c r="BV103" s="377"/>
      <c r="BW103" s="377"/>
      <c r="BY103" s="38"/>
    </row>
    <row r="104" spans="13:77" hidden="1" x14ac:dyDescent="0.2">
      <c r="M104" s="377" t="e">
        <f>M33-#REF!</f>
        <v>#REF!</v>
      </c>
      <c r="N104" s="377" t="e">
        <f>N33-#REF!</f>
        <v>#REF!</v>
      </c>
      <c r="O104" s="377" t="e">
        <f>O33-#REF!</f>
        <v>#REF!</v>
      </c>
      <c r="P104" s="377" t="e">
        <f>P33-#REF!</f>
        <v>#REF!</v>
      </c>
      <c r="Q104" s="377" t="e">
        <f>Q33-#REF!</f>
        <v>#REF!</v>
      </c>
      <c r="R104" s="377" t="e">
        <f>R33-#REF!</f>
        <v>#REF!</v>
      </c>
      <c r="S104" s="377" t="e">
        <f>S33-#REF!</f>
        <v>#REF!</v>
      </c>
      <c r="T104" s="377" t="e">
        <f>T33-#REF!</f>
        <v>#REF!</v>
      </c>
      <c r="U104" s="377" t="e">
        <f>U33-#REF!</f>
        <v>#REF!</v>
      </c>
      <c r="V104" s="377" t="e">
        <f>V33-#REF!</f>
        <v>#REF!</v>
      </c>
      <c r="W104" s="377" t="e">
        <f>W33-#REF!</f>
        <v>#REF!</v>
      </c>
      <c r="X104" s="377" t="e">
        <f>X33-#REF!</f>
        <v>#REF!</v>
      </c>
      <c r="Y104" s="377" t="e">
        <f>Y33-#REF!</f>
        <v>#REF!</v>
      </c>
      <c r="Z104" s="377" t="e">
        <f>Z33-#REF!</f>
        <v>#REF!</v>
      </c>
      <c r="AA104" s="377" t="e">
        <f>AA33-#REF!</f>
        <v>#REF!</v>
      </c>
      <c r="AB104" s="377" t="e">
        <f>AB33-#REF!</f>
        <v>#REF!</v>
      </c>
      <c r="AC104" s="377" t="e">
        <f>AC33-#REF!</f>
        <v>#REF!</v>
      </c>
      <c r="AD104" s="377" t="e">
        <f>AD33-#REF!</f>
        <v>#REF!</v>
      </c>
      <c r="AE104" s="377" t="e">
        <f>AE33-#REF!</f>
        <v>#REF!</v>
      </c>
      <c r="AF104" s="377" t="e">
        <f>AF33-#REF!</f>
        <v>#REF!</v>
      </c>
      <c r="AG104" s="377" t="e">
        <f>AG33-#REF!</f>
        <v>#REF!</v>
      </c>
      <c r="AH104" s="377" t="e">
        <f>AH33-#REF!</f>
        <v>#REF!</v>
      </c>
      <c r="AI104" s="377" t="e">
        <f>AI33-#REF!</f>
        <v>#REF!</v>
      </c>
      <c r="AJ104" s="377" t="e">
        <f>AJ33-#REF!</f>
        <v>#REF!</v>
      </c>
      <c r="AK104" s="377" t="e">
        <f>AK33-#REF!</f>
        <v>#REF!</v>
      </c>
      <c r="AL104" s="377" t="e">
        <f>AL33-#REF!</f>
        <v>#REF!</v>
      </c>
      <c r="AM104" s="377" t="e">
        <f>AM33-#REF!</f>
        <v>#REF!</v>
      </c>
      <c r="AN104" s="377" t="e">
        <f>AN33-#REF!</f>
        <v>#REF!</v>
      </c>
      <c r="AO104" s="377" t="e">
        <f>AO33-#REF!</f>
        <v>#REF!</v>
      </c>
      <c r="AP104" s="377" t="e">
        <f>AP33-#REF!</f>
        <v>#REF!</v>
      </c>
      <c r="AQ104" s="377" t="e">
        <f>AQ33-#REF!</f>
        <v>#REF!</v>
      </c>
      <c r="AR104" s="377" t="e">
        <f>AR33-#REF!</f>
        <v>#REF!</v>
      </c>
      <c r="AS104" s="377" t="e">
        <f>AS33-#REF!</f>
        <v>#REF!</v>
      </c>
      <c r="AT104" s="377" t="e">
        <f>AT33-#REF!</f>
        <v>#REF!</v>
      </c>
      <c r="AU104" s="377" t="e">
        <f>AU33-#REF!</f>
        <v>#REF!</v>
      </c>
      <c r="AV104" s="377" t="e">
        <f>AV33-#REF!</f>
        <v>#REF!</v>
      </c>
      <c r="AW104" s="377" t="e">
        <f>AW33-#REF!</f>
        <v>#REF!</v>
      </c>
      <c r="AX104" s="377" t="e">
        <f>AX33-#REF!</f>
        <v>#REF!</v>
      </c>
      <c r="AY104" s="377" t="e">
        <f>AY33-#REF!</f>
        <v>#REF!</v>
      </c>
      <c r="AZ104" s="377" t="e">
        <f>AZ33-#REF!</f>
        <v>#REF!</v>
      </c>
      <c r="BA104" s="377" t="e">
        <f>BA33-#REF!</f>
        <v>#REF!</v>
      </c>
      <c r="BB104" s="377" t="e">
        <f>BB33-#REF!</f>
        <v>#REF!</v>
      </c>
      <c r="BC104" s="377" t="e">
        <f>BC33-#REF!</f>
        <v>#REF!</v>
      </c>
      <c r="BD104" s="377" t="e">
        <f>BD33-#REF!</f>
        <v>#REF!</v>
      </c>
      <c r="BE104" s="377" t="e">
        <f>BE33-#REF!</f>
        <v>#REF!</v>
      </c>
      <c r="BF104" s="377" t="e">
        <f>BF33-#REF!</f>
        <v>#REF!</v>
      </c>
      <c r="BG104" s="377" t="e">
        <f>BG33-#REF!</f>
        <v>#REF!</v>
      </c>
      <c r="BH104" s="377" t="e">
        <f>BH33-#REF!</f>
        <v>#REF!</v>
      </c>
      <c r="BI104" s="377" t="e">
        <f>BI33-#REF!</f>
        <v>#REF!</v>
      </c>
      <c r="BJ104" s="377" t="e">
        <f>BJ33-#REF!</f>
        <v>#REF!</v>
      </c>
      <c r="BK104" s="377" t="e">
        <f>BK33-#REF!</f>
        <v>#REF!</v>
      </c>
      <c r="BL104" s="377" t="e">
        <f>BL33-#REF!</f>
        <v>#REF!</v>
      </c>
      <c r="BM104" s="377" t="e">
        <f>BM33-#REF!</f>
        <v>#REF!</v>
      </c>
      <c r="BN104" s="377" t="e">
        <f>BN33-#REF!</f>
        <v>#REF!</v>
      </c>
      <c r="BO104" s="377" t="e">
        <f>BO33-#REF!</f>
        <v>#REF!</v>
      </c>
      <c r="BP104" s="377" t="e">
        <f>BP33-#REF!</f>
        <v>#REF!</v>
      </c>
      <c r="BQ104" s="377" t="e">
        <f>BQ33-#REF!</f>
        <v>#REF!</v>
      </c>
      <c r="BR104" s="377" t="e">
        <f>BR33-#REF!</f>
        <v>#REF!</v>
      </c>
      <c r="BS104" s="377" t="e">
        <f>BS33-#REF!</f>
        <v>#REF!</v>
      </c>
      <c r="BT104" s="377" t="e">
        <f>BT33-#REF!</f>
        <v>#REF!</v>
      </c>
      <c r="BU104" s="377" t="e">
        <f>BU33-#REF!</f>
        <v>#REF!</v>
      </c>
      <c r="BV104" s="377"/>
      <c r="BW104" s="377">
        <f>SUM(BW105:BW106)</f>
        <v>0</v>
      </c>
      <c r="BY104" s="38"/>
    </row>
    <row r="105" spans="13:77" hidden="1" x14ac:dyDescent="0.2">
      <c r="M105" s="377" t="e">
        <f>M34-#REF!</f>
        <v>#REF!</v>
      </c>
      <c r="N105" s="377" t="e">
        <f>N34-#REF!</f>
        <v>#REF!</v>
      </c>
      <c r="O105" s="377" t="e">
        <f>O34-#REF!</f>
        <v>#REF!</v>
      </c>
      <c r="P105" s="377" t="e">
        <f>P34-#REF!</f>
        <v>#REF!</v>
      </c>
      <c r="Q105" s="377" t="e">
        <f>Q34-#REF!</f>
        <v>#REF!</v>
      </c>
      <c r="R105" s="377" t="e">
        <f>R34-#REF!</f>
        <v>#REF!</v>
      </c>
      <c r="S105" s="377" t="e">
        <f>S34-#REF!</f>
        <v>#REF!</v>
      </c>
      <c r="T105" s="377" t="e">
        <f>T34-#REF!</f>
        <v>#REF!</v>
      </c>
      <c r="U105" s="377" t="e">
        <f>U34-#REF!</f>
        <v>#REF!</v>
      </c>
      <c r="V105" s="377" t="e">
        <f>V34-#REF!</f>
        <v>#REF!</v>
      </c>
      <c r="W105" s="377" t="e">
        <f>W34-#REF!</f>
        <v>#REF!</v>
      </c>
      <c r="X105" s="377" t="e">
        <f>X34-#REF!</f>
        <v>#REF!</v>
      </c>
      <c r="Y105" s="377" t="e">
        <f>Y34-#REF!</f>
        <v>#REF!</v>
      </c>
      <c r="Z105" s="377" t="e">
        <f>Z34-#REF!</f>
        <v>#REF!</v>
      </c>
      <c r="AA105" s="377" t="e">
        <f>AA34-#REF!</f>
        <v>#REF!</v>
      </c>
      <c r="AB105" s="377" t="e">
        <f>AB34-#REF!</f>
        <v>#REF!</v>
      </c>
      <c r="AC105" s="377" t="e">
        <f>AC34-#REF!</f>
        <v>#REF!</v>
      </c>
      <c r="AD105" s="377" t="e">
        <f>AD34-#REF!</f>
        <v>#REF!</v>
      </c>
      <c r="AE105" s="377" t="e">
        <f>AE34-#REF!</f>
        <v>#REF!</v>
      </c>
      <c r="AF105" s="377" t="e">
        <f>AF34-#REF!</f>
        <v>#REF!</v>
      </c>
      <c r="AG105" s="377" t="e">
        <f>AG34-#REF!</f>
        <v>#REF!</v>
      </c>
      <c r="AH105" s="377" t="e">
        <f>AH34-#REF!</f>
        <v>#REF!</v>
      </c>
      <c r="AI105" s="377" t="e">
        <f>AI34-#REF!</f>
        <v>#REF!</v>
      </c>
      <c r="AJ105" s="377" t="e">
        <f>AJ34-#REF!</f>
        <v>#REF!</v>
      </c>
      <c r="AK105" s="377" t="e">
        <f>AK34-#REF!</f>
        <v>#REF!</v>
      </c>
      <c r="AL105" s="377" t="e">
        <f>AL34-#REF!</f>
        <v>#REF!</v>
      </c>
      <c r="AM105" s="377" t="e">
        <f>AM34-#REF!</f>
        <v>#REF!</v>
      </c>
      <c r="AN105" s="377" t="e">
        <f>AN34-#REF!</f>
        <v>#REF!</v>
      </c>
      <c r="AO105" s="377" t="e">
        <f>AO34-#REF!</f>
        <v>#REF!</v>
      </c>
      <c r="AP105" s="377" t="e">
        <f>AP34-#REF!</f>
        <v>#REF!</v>
      </c>
      <c r="AQ105" s="377" t="e">
        <f>AQ34-#REF!</f>
        <v>#REF!</v>
      </c>
      <c r="AR105" s="377" t="e">
        <f>AR34-#REF!</f>
        <v>#REF!</v>
      </c>
      <c r="AS105" s="377" t="e">
        <f>AS34-#REF!</f>
        <v>#REF!</v>
      </c>
      <c r="AT105" s="377" t="e">
        <f>AT34-#REF!</f>
        <v>#REF!</v>
      </c>
      <c r="AU105" s="377" t="e">
        <f>AU34-#REF!</f>
        <v>#REF!</v>
      </c>
      <c r="AV105" s="377" t="e">
        <f>AV34-#REF!</f>
        <v>#REF!</v>
      </c>
      <c r="AW105" s="377" t="e">
        <f>AW34-#REF!</f>
        <v>#REF!</v>
      </c>
      <c r="AX105" s="377" t="e">
        <f>AX34-#REF!</f>
        <v>#REF!</v>
      </c>
      <c r="AY105" s="377" t="e">
        <f>AY34-#REF!</f>
        <v>#REF!</v>
      </c>
      <c r="AZ105" s="377" t="e">
        <f>AZ34-#REF!</f>
        <v>#REF!</v>
      </c>
      <c r="BA105" s="377" t="e">
        <f>BA34-#REF!</f>
        <v>#REF!</v>
      </c>
      <c r="BB105" s="377" t="e">
        <f>BB34-#REF!</f>
        <v>#REF!</v>
      </c>
      <c r="BC105" s="377" t="e">
        <f>BC34-#REF!</f>
        <v>#REF!</v>
      </c>
      <c r="BD105" s="377" t="e">
        <f>BD34-#REF!</f>
        <v>#REF!</v>
      </c>
      <c r="BE105" s="377" t="e">
        <f>BE34-#REF!</f>
        <v>#REF!</v>
      </c>
      <c r="BF105" s="377" t="e">
        <f>BF34-#REF!</f>
        <v>#REF!</v>
      </c>
      <c r="BG105" s="377" t="e">
        <f>BG34-#REF!</f>
        <v>#REF!</v>
      </c>
      <c r="BH105" s="377" t="e">
        <f>BH34-#REF!</f>
        <v>#REF!</v>
      </c>
      <c r="BI105" s="377" t="e">
        <f>BI34-#REF!</f>
        <v>#REF!</v>
      </c>
      <c r="BJ105" s="377" t="e">
        <f>BJ34-#REF!</f>
        <v>#REF!</v>
      </c>
      <c r="BK105" s="377" t="e">
        <f>BK34-#REF!</f>
        <v>#REF!</v>
      </c>
      <c r="BL105" s="377" t="e">
        <f>BL34-#REF!</f>
        <v>#REF!</v>
      </c>
      <c r="BM105" s="377" t="e">
        <f>BM34-#REF!</f>
        <v>#REF!</v>
      </c>
      <c r="BN105" s="377" t="e">
        <f>BN34-#REF!</f>
        <v>#REF!</v>
      </c>
      <c r="BO105" s="377" t="e">
        <f>BO34-#REF!</f>
        <v>#REF!</v>
      </c>
      <c r="BP105" s="377" t="e">
        <f>BP34-#REF!</f>
        <v>#REF!</v>
      </c>
      <c r="BQ105" s="377" t="e">
        <f>BQ34-#REF!</f>
        <v>#REF!</v>
      </c>
      <c r="BR105" s="377" t="e">
        <f>BR34-#REF!</f>
        <v>#REF!</v>
      </c>
      <c r="BS105" s="377" t="e">
        <f>BS34-#REF!</f>
        <v>#REF!</v>
      </c>
      <c r="BT105" s="377" t="e">
        <f>BT34-#REF!</f>
        <v>#REF!</v>
      </c>
      <c r="BU105" s="377" t="e">
        <f>BU34-#REF!</f>
        <v>#REF!</v>
      </c>
      <c r="BV105" s="377"/>
      <c r="BW105" s="377">
        <f>[18]domlongtermissues!BV98</f>
        <v>0</v>
      </c>
      <c r="BY105" s="38"/>
    </row>
    <row r="106" spans="13:77" hidden="1" x14ac:dyDescent="0.2">
      <c r="M106" s="377" t="e">
        <f>M35-#REF!</f>
        <v>#REF!</v>
      </c>
      <c r="N106" s="377" t="e">
        <f>N35-#REF!</f>
        <v>#REF!</v>
      </c>
      <c r="O106" s="377" t="e">
        <f>O35-#REF!</f>
        <v>#REF!</v>
      </c>
      <c r="P106" s="377" t="e">
        <f>P35-#REF!</f>
        <v>#REF!</v>
      </c>
      <c r="Q106" s="377" t="e">
        <f>Q35-#REF!</f>
        <v>#REF!</v>
      </c>
      <c r="R106" s="377" t="e">
        <f>R35-#REF!</f>
        <v>#REF!</v>
      </c>
      <c r="S106" s="377" t="e">
        <f>S35-#REF!</f>
        <v>#REF!</v>
      </c>
      <c r="T106" s="377" t="e">
        <f>T35-#REF!</f>
        <v>#REF!</v>
      </c>
      <c r="U106" s="377" t="e">
        <f>U35-#REF!</f>
        <v>#REF!</v>
      </c>
      <c r="V106" s="377" t="e">
        <f>V35-#REF!</f>
        <v>#REF!</v>
      </c>
      <c r="W106" s="377" t="e">
        <f>W35-#REF!</f>
        <v>#REF!</v>
      </c>
      <c r="X106" s="377" t="e">
        <f>X35-#REF!</f>
        <v>#REF!</v>
      </c>
      <c r="Y106" s="377" t="e">
        <f>Y35-#REF!</f>
        <v>#REF!</v>
      </c>
      <c r="Z106" s="377" t="e">
        <f>Z35-#REF!</f>
        <v>#REF!</v>
      </c>
      <c r="AA106" s="377" t="e">
        <f>AA35-#REF!</f>
        <v>#REF!</v>
      </c>
      <c r="AB106" s="377" t="e">
        <f>AB35-#REF!</f>
        <v>#REF!</v>
      </c>
      <c r="AC106" s="377" t="e">
        <f>AC35-#REF!</f>
        <v>#REF!</v>
      </c>
      <c r="AD106" s="377" t="e">
        <f>AD35-#REF!</f>
        <v>#REF!</v>
      </c>
      <c r="AE106" s="377" t="e">
        <f>AE35-#REF!</f>
        <v>#REF!</v>
      </c>
      <c r="AF106" s="377" t="e">
        <f>AF35-#REF!</f>
        <v>#REF!</v>
      </c>
      <c r="AG106" s="377" t="e">
        <f>AG35-#REF!</f>
        <v>#REF!</v>
      </c>
      <c r="AH106" s="377" t="e">
        <f>AH35-#REF!</f>
        <v>#REF!</v>
      </c>
      <c r="AI106" s="377" t="e">
        <f>AI35-#REF!</f>
        <v>#REF!</v>
      </c>
      <c r="AJ106" s="377" t="e">
        <f>AJ35-#REF!</f>
        <v>#REF!</v>
      </c>
      <c r="AK106" s="377" t="e">
        <f>AK35-#REF!</f>
        <v>#REF!</v>
      </c>
      <c r="AL106" s="377" t="e">
        <f>AL35-#REF!</f>
        <v>#REF!</v>
      </c>
      <c r="AM106" s="377" t="e">
        <f>AM35-#REF!</f>
        <v>#REF!</v>
      </c>
      <c r="AN106" s="377" t="e">
        <f>AN35-#REF!</f>
        <v>#REF!</v>
      </c>
      <c r="AO106" s="377" t="e">
        <f>AO35-#REF!</f>
        <v>#REF!</v>
      </c>
      <c r="AP106" s="377" t="e">
        <f>AP35-#REF!</f>
        <v>#REF!</v>
      </c>
      <c r="AQ106" s="377" t="e">
        <f>AQ35-#REF!</f>
        <v>#REF!</v>
      </c>
      <c r="AR106" s="377" t="e">
        <f>AR35-#REF!</f>
        <v>#REF!</v>
      </c>
      <c r="AS106" s="377" t="e">
        <f>AS35-#REF!</f>
        <v>#REF!</v>
      </c>
      <c r="AT106" s="377" t="e">
        <f>AT35-#REF!</f>
        <v>#REF!</v>
      </c>
      <c r="AU106" s="377" t="e">
        <f>AU35-#REF!</f>
        <v>#REF!</v>
      </c>
      <c r="AV106" s="377" t="e">
        <f>AV35-#REF!</f>
        <v>#REF!</v>
      </c>
      <c r="AW106" s="377" t="e">
        <f>AW35-#REF!</f>
        <v>#REF!</v>
      </c>
      <c r="AX106" s="377" t="e">
        <f>AX35-#REF!</f>
        <v>#REF!</v>
      </c>
      <c r="AY106" s="377" t="e">
        <f>AY35-#REF!</f>
        <v>#REF!</v>
      </c>
      <c r="AZ106" s="377" t="e">
        <f>AZ35-#REF!</f>
        <v>#REF!</v>
      </c>
      <c r="BA106" s="377" t="e">
        <f>BA35-#REF!</f>
        <v>#REF!</v>
      </c>
      <c r="BB106" s="377" t="e">
        <f>BB35-#REF!</f>
        <v>#REF!</v>
      </c>
      <c r="BC106" s="377" t="e">
        <f>BC35-#REF!</f>
        <v>#REF!</v>
      </c>
      <c r="BD106" s="377" t="e">
        <f>BD35-#REF!</f>
        <v>#REF!</v>
      </c>
      <c r="BE106" s="377" t="e">
        <f>BE35-#REF!</f>
        <v>#REF!</v>
      </c>
      <c r="BF106" s="377" t="e">
        <f>BF35-#REF!</f>
        <v>#REF!</v>
      </c>
      <c r="BG106" s="377" t="e">
        <f>BG35-#REF!</f>
        <v>#REF!</v>
      </c>
      <c r="BH106" s="377" t="e">
        <f>BH35-#REF!</f>
        <v>#REF!</v>
      </c>
      <c r="BI106" s="377" t="e">
        <f>BI35-#REF!</f>
        <v>#REF!</v>
      </c>
      <c r="BJ106" s="377" t="e">
        <f>BJ35-#REF!</f>
        <v>#REF!</v>
      </c>
      <c r="BK106" s="377" t="e">
        <f>BK35-#REF!</f>
        <v>#REF!</v>
      </c>
      <c r="BL106" s="377" t="e">
        <f>BL35-#REF!</f>
        <v>#REF!</v>
      </c>
      <c r="BM106" s="377" t="e">
        <f>BM35-#REF!</f>
        <v>#REF!</v>
      </c>
      <c r="BN106" s="377" t="e">
        <f>BN35-#REF!</f>
        <v>#REF!</v>
      </c>
      <c r="BO106" s="377" t="e">
        <f>BO35-#REF!</f>
        <v>#REF!</v>
      </c>
      <c r="BP106" s="377" t="e">
        <f>BP35-#REF!</f>
        <v>#REF!</v>
      </c>
      <c r="BQ106" s="377" t="e">
        <f>BQ35-#REF!</f>
        <v>#REF!</v>
      </c>
      <c r="BR106" s="377" t="e">
        <f>BR35-#REF!</f>
        <v>#REF!</v>
      </c>
      <c r="BS106" s="377" t="e">
        <f>BS35-#REF!</f>
        <v>#REF!</v>
      </c>
      <c r="BT106" s="377" t="e">
        <f>BT35-#REF!</f>
        <v>#REF!</v>
      </c>
      <c r="BU106" s="377" t="e">
        <f>BU35-#REF!</f>
        <v>#REF!</v>
      </c>
      <c r="BV106" s="377"/>
      <c r="BW106" s="377">
        <f>-[18]domredemp!BV100</f>
        <v>0</v>
      </c>
      <c r="BY106" s="38"/>
    </row>
    <row r="107" spans="13:77" hidden="1" x14ac:dyDescent="0.2">
      <c r="M107" s="377" t="e">
        <f>M36-#REF!</f>
        <v>#REF!</v>
      </c>
      <c r="N107" s="377" t="e">
        <f>N36-#REF!</f>
        <v>#REF!</v>
      </c>
      <c r="O107" s="377" t="e">
        <f>O36-#REF!</f>
        <v>#REF!</v>
      </c>
      <c r="P107" s="377" t="e">
        <f>P36-#REF!</f>
        <v>#REF!</v>
      </c>
      <c r="Q107" s="377" t="e">
        <f>Q36-#REF!</f>
        <v>#REF!</v>
      </c>
      <c r="R107" s="377" t="e">
        <f>R36-#REF!</f>
        <v>#REF!</v>
      </c>
      <c r="S107" s="377" t="e">
        <f>S36-#REF!</f>
        <v>#REF!</v>
      </c>
      <c r="T107" s="377" t="e">
        <f>T36-#REF!</f>
        <v>#REF!</v>
      </c>
      <c r="U107" s="377" t="e">
        <f>U36-#REF!</f>
        <v>#REF!</v>
      </c>
      <c r="V107" s="377" t="e">
        <f>V36-#REF!</f>
        <v>#REF!</v>
      </c>
      <c r="W107" s="377" t="e">
        <f>W36-#REF!</f>
        <v>#REF!</v>
      </c>
      <c r="X107" s="377" t="e">
        <f>X36-#REF!</f>
        <v>#REF!</v>
      </c>
      <c r="Y107" s="377" t="e">
        <f>Y36-#REF!</f>
        <v>#REF!</v>
      </c>
      <c r="Z107" s="377" t="e">
        <f>Z36-#REF!</f>
        <v>#REF!</v>
      </c>
      <c r="AA107" s="377" t="e">
        <f>AA36-#REF!</f>
        <v>#REF!</v>
      </c>
      <c r="AB107" s="377" t="e">
        <f>AB36-#REF!</f>
        <v>#REF!</v>
      </c>
      <c r="AC107" s="377" t="e">
        <f>AC36-#REF!</f>
        <v>#REF!</v>
      </c>
      <c r="AD107" s="377" t="e">
        <f>AD36-#REF!</f>
        <v>#REF!</v>
      </c>
      <c r="AE107" s="377" t="e">
        <f>AE36-#REF!</f>
        <v>#REF!</v>
      </c>
      <c r="AF107" s="377" t="e">
        <f>AF36-#REF!</f>
        <v>#REF!</v>
      </c>
      <c r="AG107" s="377" t="e">
        <f>AG36-#REF!</f>
        <v>#REF!</v>
      </c>
      <c r="AH107" s="377" t="e">
        <f>AH36-#REF!</f>
        <v>#REF!</v>
      </c>
      <c r="AI107" s="377" t="e">
        <f>AI36-#REF!</f>
        <v>#REF!</v>
      </c>
      <c r="AJ107" s="377" t="e">
        <f>AJ36-#REF!</f>
        <v>#REF!</v>
      </c>
      <c r="AK107" s="377" t="e">
        <f>AK36-#REF!</f>
        <v>#REF!</v>
      </c>
      <c r="AL107" s="377" t="e">
        <f>AL36-#REF!</f>
        <v>#REF!</v>
      </c>
      <c r="AM107" s="377" t="e">
        <f>AM36-#REF!</f>
        <v>#REF!</v>
      </c>
      <c r="AN107" s="377" t="e">
        <f>AN36-#REF!</f>
        <v>#REF!</v>
      </c>
      <c r="AO107" s="377" t="e">
        <f>AO36-#REF!</f>
        <v>#REF!</v>
      </c>
      <c r="AP107" s="377" t="e">
        <f>AP36-#REF!</f>
        <v>#REF!</v>
      </c>
      <c r="AQ107" s="377" t="e">
        <f>AQ36-#REF!</f>
        <v>#REF!</v>
      </c>
      <c r="AR107" s="377" t="e">
        <f>AR36-#REF!</f>
        <v>#REF!</v>
      </c>
      <c r="AS107" s="377" t="e">
        <f>AS36-#REF!</f>
        <v>#REF!</v>
      </c>
      <c r="AT107" s="377" t="e">
        <f>AT36-#REF!</f>
        <v>#REF!</v>
      </c>
      <c r="AU107" s="377" t="e">
        <f>AU36-#REF!</f>
        <v>#REF!</v>
      </c>
      <c r="AV107" s="377" t="e">
        <f>AV36-#REF!</f>
        <v>#REF!</v>
      </c>
      <c r="AW107" s="377" t="e">
        <f>AW36-#REF!</f>
        <v>#REF!</v>
      </c>
      <c r="AX107" s="377" t="e">
        <f>AX36-#REF!</f>
        <v>#REF!</v>
      </c>
      <c r="AY107" s="377" t="e">
        <f>AY36-#REF!</f>
        <v>#REF!</v>
      </c>
      <c r="AZ107" s="377" t="e">
        <f>AZ36-#REF!</f>
        <v>#REF!</v>
      </c>
      <c r="BA107" s="377" t="e">
        <f>BA36-#REF!</f>
        <v>#REF!</v>
      </c>
      <c r="BB107" s="377" t="e">
        <f>BB36-#REF!</f>
        <v>#REF!</v>
      </c>
      <c r="BC107" s="377" t="e">
        <f>BC36-#REF!</f>
        <v>#REF!</v>
      </c>
      <c r="BD107" s="377" t="e">
        <f>BD36-#REF!</f>
        <v>#REF!</v>
      </c>
      <c r="BE107" s="377" t="e">
        <f>BE36-#REF!</f>
        <v>#REF!</v>
      </c>
      <c r="BF107" s="377" t="e">
        <f>BF36-#REF!</f>
        <v>#REF!</v>
      </c>
      <c r="BG107" s="377" t="e">
        <f>BG36-#REF!</f>
        <v>#REF!</v>
      </c>
      <c r="BH107" s="377" t="e">
        <f>BH36-#REF!</f>
        <v>#REF!</v>
      </c>
      <c r="BI107" s="377" t="e">
        <f>BI36-#REF!</f>
        <v>#REF!</v>
      </c>
      <c r="BJ107" s="377" t="e">
        <f>BJ36-#REF!</f>
        <v>#REF!</v>
      </c>
      <c r="BK107" s="377" t="e">
        <f>BK36-#REF!</f>
        <v>#REF!</v>
      </c>
      <c r="BL107" s="377" t="e">
        <f>BL36-#REF!</f>
        <v>#REF!</v>
      </c>
      <c r="BM107" s="377" t="e">
        <f>BM36-#REF!</f>
        <v>#REF!</v>
      </c>
      <c r="BN107" s="377" t="e">
        <f>BN36-#REF!</f>
        <v>#REF!</v>
      </c>
      <c r="BO107" s="377" t="e">
        <f>BO36-#REF!</f>
        <v>#REF!</v>
      </c>
      <c r="BP107" s="377" t="e">
        <f>BP36-#REF!</f>
        <v>#REF!</v>
      </c>
      <c r="BQ107" s="377" t="e">
        <f>BQ36-#REF!</f>
        <v>#REF!</v>
      </c>
      <c r="BR107" s="377" t="e">
        <f>BR36-#REF!</f>
        <v>#REF!</v>
      </c>
      <c r="BS107" s="377" t="e">
        <f>BS36-#REF!</f>
        <v>#REF!</v>
      </c>
      <c r="BT107" s="377" t="e">
        <f>BT36-#REF!</f>
        <v>#REF!</v>
      </c>
      <c r="BU107" s="377" t="e">
        <f>BU36-#REF!</f>
        <v>#REF!</v>
      </c>
      <c r="BV107" s="377"/>
      <c r="BW107" s="377"/>
      <c r="BY107" s="38"/>
    </row>
    <row r="108" spans="13:77" hidden="1" x14ac:dyDescent="0.2">
      <c r="M108" s="377" t="e">
        <f>M37-#REF!</f>
        <v>#REF!</v>
      </c>
      <c r="N108" s="377" t="e">
        <f>N37-#REF!</f>
        <v>#REF!</v>
      </c>
      <c r="O108" s="377" t="e">
        <f>O37-#REF!</f>
        <v>#REF!</v>
      </c>
      <c r="P108" s="377" t="e">
        <f>P37-#REF!</f>
        <v>#REF!</v>
      </c>
      <c r="Q108" s="377" t="e">
        <f>Q37-#REF!</f>
        <v>#REF!</v>
      </c>
      <c r="R108" s="377" t="e">
        <f>R37-#REF!</f>
        <v>#REF!</v>
      </c>
      <c r="S108" s="377" t="e">
        <f>S37-#REF!</f>
        <v>#REF!</v>
      </c>
      <c r="T108" s="377" t="e">
        <f>T37-#REF!</f>
        <v>#REF!</v>
      </c>
      <c r="U108" s="377" t="e">
        <f>U37-#REF!</f>
        <v>#REF!</v>
      </c>
      <c r="V108" s="377" t="e">
        <f>V37-#REF!</f>
        <v>#REF!</v>
      </c>
      <c r="W108" s="377" t="e">
        <f>W37-#REF!</f>
        <v>#REF!</v>
      </c>
      <c r="X108" s="377" t="e">
        <f>X37-#REF!</f>
        <v>#REF!</v>
      </c>
      <c r="Y108" s="377" t="e">
        <f>Y37-#REF!</f>
        <v>#REF!</v>
      </c>
      <c r="Z108" s="377" t="e">
        <f>Z37-#REF!</f>
        <v>#REF!</v>
      </c>
      <c r="AA108" s="377" t="e">
        <f>AA37-#REF!</f>
        <v>#REF!</v>
      </c>
      <c r="AB108" s="377" t="e">
        <f>AB37-#REF!</f>
        <v>#REF!</v>
      </c>
      <c r="AC108" s="377" t="e">
        <f>AC37-#REF!</f>
        <v>#REF!</v>
      </c>
      <c r="AD108" s="377" t="e">
        <f>AD37-#REF!</f>
        <v>#REF!</v>
      </c>
      <c r="AE108" s="377" t="e">
        <f>AE37-#REF!</f>
        <v>#REF!</v>
      </c>
      <c r="AF108" s="377" t="e">
        <f>AF37-#REF!</f>
        <v>#REF!</v>
      </c>
      <c r="AG108" s="377" t="e">
        <f>AG37-#REF!</f>
        <v>#REF!</v>
      </c>
      <c r="AH108" s="377" t="e">
        <f>AH37-#REF!</f>
        <v>#REF!</v>
      </c>
      <c r="AI108" s="377" t="e">
        <f>AI37-#REF!</f>
        <v>#REF!</v>
      </c>
      <c r="AJ108" s="377" t="e">
        <f>AJ37-#REF!</f>
        <v>#REF!</v>
      </c>
      <c r="AK108" s="377" t="e">
        <f>AK37-#REF!</f>
        <v>#REF!</v>
      </c>
      <c r="AL108" s="377" t="e">
        <f>AL37-#REF!</f>
        <v>#REF!</v>
      </c>
      <c r="AM108" s="377" t="e">
        <f>AM37-#REF!</f>
        <v>#REF!</v>
      </c>
      <c r="AN108" s="377" t="e">
        <f>AN37-#REF!</f>
        <v>#REF!</v>
      </c>
      <c r="AO108" s="377" t="e">
        <f>AO37-#REF!</f>
        <v>#REF!</v>
      </c>
      <c r="AP108" s="377" t="e">
        <f>AP37-#REF!</f>
        <v>#REF!</v>
      </c>
      <c r="AQ108" s="377" t="e">
        <f>AQ37-#REF!</f>
        <v>#REF!</v>
      </c>
      <c r="AR108" s="377" t="e">
        <f>AR37-#REF!</f>
        <v>#REF!</v>
      </c>
      <c r="AS108" s="377" t="e">
        <f>AS37-#REF!</f>
        <v>#REF!</v>
      </c>
      <c r="AT108" s="377" t="e">
        <f>AT37-#REF!</f>
        <v>#REF!</v>
      </c>
      <c r="AU108" s="377" t="e">
        <f>AU37-#REF!</f>
        <v>#REF!</v>
      </c>
      <c r="AV108" s="377" t="e">
        <f>AV37-#REF!</f>
        <v>#REF!</v>
      </c>
      <c r="AW108" s="377" t="e">
        <f>AW37-#REF!</f>
        <v>#REF!</v>
      </c>
      <c r="AX108" s="377" t="e">
        <f>AX37-#REF!</f>
        <v>#REF!</v>
      </c>
      <c r="AY108" s="377" t="e">
        <f>AY37-#REF!</f>
        <v>#REF!</v>
      </c>
      <c r="AZ108" s="377" t="e">
        <f>AZ37-#REF!</f>
        <v>#REF!</v>
      </c>
      <c r="BA108" s="377" t="e">
        <f>BA37-#REF!</f>
        <v>#REF!</v>
      </c>
      <c r="BB108" s="377" t="e">
        <f>BB37-#REF!</f>
        <v>#REF!</v>
      </c>
      <c r="BC108" s="377" t="e">
        <f>BC37-#REF!</f>
        <v>#REF!</v>
      </c>
      <c r="BD108" s="377" t="e">
        <f>BD37-#REF!</f>
        <v>#REF!</v>
      </c>
      <c r="BE108" s="377" t="e">
        <f>BE37-#REF!</f>
        <v>#REF!</v>
      </c>
      <c r="BF108" s="377" t="e">
        <f>BF37-#REF!</f>
        <v>#REF!</v>
      </c>
      <c r="BG108" s="377" t="e">
        <f>BG37-#REF!</f>
        <v>#REF!</v>
      </c>
      <c r="BH108" s="377" t="e">
        <f>BH37-#REF!</f>
        <v>#REF!</v>
      </c>
      <c r="BI108" s="377" t="e">
        <f>BI37-#REF!</f>
        <v>#REF!</v>
      </c>
      <c r="BJ108" s="377" t="e">
        <f>BJ37-#REF!</f>
        <v>#REF!</v>
      </c>
      <c r="BK108" s="377" t="e">
        <f>BK37-#REF!</f>
        <v>#REF!</v>
      </c>
      <c r="BL108" s="377" t="e">
        <f>BL37-#REF!</f>
        <v>#REF!</v>
      </c>
      <c r="BM108" s="377" t="e">
        <f>BM37-#REF!</f>
        <v>#REF!</v>
      </c>
      <c r="BN108" s="377" t="e">
        <f>BN37-#REF!</f>
        <v>#REF!</v>
      </c>
      <c r="BO108" s="377" t="e">
        <f>BO37-#REF!</f>
        <v>#REF!</v>
      </c>
      <c r="BP108" s="377" t="e">
        <f>BP37-#REF!</f>
        <v>#REF!</v>
      </c>
      <c r="BQ108" s="377" t="e">
        <f>BQ37-#REF!</f>
        <v>#REF!</v>
      </c>
      <c r="BR108" s="377" t="e">
        <f>BR37-#REF!</f>
        <v>#REF!</v>
      </c>
      <c r="BS108" s="377" t="e">
        <f>BS37-#REF!</f>
        <v>#REF!</v>
      </c>
      <c r="BT108" s="377" t="e">
        <f>BT37-#REF!</f>
        <v>#REF!</v>
      </c>
      <c r="BU108" s="377" t="e">
        <f>BU37-#REF!</f>
        <v>#REF!</v>
      </c>
      <c r="BV108" s="377"/>
      <c r="BW108" s="377">
        <f>SUM(BW109:BW109)</f>
        <v>0</v>
      </c>
      <c r="BY108" s="38"/>
    </row>
    <row r="109" spans="13:77" hidden="1" x14ac:dyDescent="0.2">
      <c r="M109" s="377" t="e">
        <f>M38-#REF!</f>
        <v>#REF!</v>
      </c>
      <c r="N109" s="377" t="e">
        <f>N38-#REF!</f>
        <v>#REF!</v>
      </c>
      <c r="O109" s="377" t="e">
        <f>O38-#REF!</f>
        <v>#REF!</v>
      </c>
      <c r="P109" s="377" t="e">
        <f>P38-#REF!</f>
        <v>#REF!</v>
      </c>
      <c r="Q109" s="377" t="e">
        <f>Q38-#REF!</f>
        <v>#REF!</v>
      </c>
      <c r="R109" s="377" t="e">
        <f>R38-#REF!</f>
        <v>#REF!</v>
      </c>
      <c r="S109" s="377" t="e">
        <f>S38-#REF!</f>
        <v>#REF!</v>
      </c>
      <c r="T109" s="377" t="e">
        <f>T38-#REF!</f>
        <v>#REF!</v>
      </c>
      <c r="U109" s="377" t="e">
        <f>U38-#REF!</f>
        <v>#REF!</v>
      </c>
      <c r="V109" s="377" t="e">
        <f>V38-#REF!</f>
        <v>#REF!</v>
      </c>
      <c r="W109" s="377" t="e">
        <f>W38-#REF!</f>
        <v>#REF!</v>
      </c>
      <c r="X109" s="377" t="e">
        <f>X38-#REF!</f>
        <v>#REF!</v>
      </c>
      <c r="Y109" s="377" t="e">
        <f>Y38-#REF!</f>
        <v>#REF!</v>
      </c>
      <c r="Z109" s="377" t="e">
        <f>Z38-#REF!</f>
        <v>#REF!</v>
      </c>
      <c r="AA109" s="377" t="e">
        <f>AA38-#REF!</f>
        <v>#REF!</v>
      </c>
      <c r="AB109" s="377" t="e">
        <f>AB38-#REF!</f>
        <v>#REF!</v>
      </c>
      <c r="AC109" s="377" t="e">
        <f>AC38-#REF!</f>
        <v>#REF!</v>
      </c>
      <c r="AD109" s="377" t="e">
        <f>AD38-#REF!</f>
        <v>#REF!</v>
      </c>
      <c r="AE109" s="377" t="e">
        <f>AE38-#REF!</f>
        <v>#REF!</v>
      </c>
      <c r="AF109" s="377" t="e">
        <f>AF38-#REF!</f>
        <v>#REF!</v>
      </c>
      <c r="AG109" s="377" t="e">
        <f>AG38-#REF!</f>
        <v>#REF!</v>
      </c>
      <c r="AH109" s="377" t="e">
        <f>AH38-#REF!</f>
        <v>#REF!</v>
      </c>
      <c r="AI109" s="377" t="e">
        <f>AI38-#REF!</f>
        <v>#REF!</v>
      </c>
      <c r="AJ109" s="377" t="e">
        <f>AJ38-#REF!</f>
        <v>#REF!</v>
      </c>
      <c r="AK109" s="377" t="e">
        <f>AK38-#REF!</f>
        <v>#REF!</v>
      </c>
      <c r="AL109" s="377" t="e">
        <f>AL38-#REF!</f>
        <v>#REF!</v>
      </c>
      <c r="AM109" s="377" t="e">
        <f>AM38-#REF!</f>
        <v>#REF!</v>
      </c>
      <c r="AN109" s="377" t="e">
        <f>AN38-#REF!</f>
        <v>#REF!</v>
      </c>
      <c r="AO109" s="377" t="e">
        <f>AO38-#REF!</f>
        <v>#REF!</v>
      </c>
      <c r="AP109" s="377" t="e">
        <f>AP38-#REF!</f>
        <v>#REF!</v>
      </c>
      <c r="AQ109" s="377" t="e">
        <f>AQ38-#REF!</f>
        <v>#REF!</v>
      </c>
      <c r="AR109" s="377" t="e">
        <f>AR38-#REF!</f>
        <v>#REF!</v>
      </c>
      <c r="AS109" s="377" t="e">
        <f>AS38-#REF!</f>
        <v>#REF!</v>
      </c>
      <c r="AT109" s="377" t="e">
        <f>AT38-#REF!</f>
        <v>#REF!</v>
      </c>
      <c r="AU109" s="377" t="e">
        <f>AU38-#REF!</f>
        <v>#REF!</v>
      </c>
      <c r="AV109" s="377" t="e">
        <f>AV38-#REF!</f>
        <v>#REF!</v>
      </c>
      <c r="AW109" s="377" t="e">
        <f>AW38-#REF!</f>
        <v>#REF!</v>
      </c>
      <c r="AX109" s="377" t="e">
        <f>AX38-#REF!</f>
        <v>#REF!</v>
      </c>
      <c r="AY109" s="377" t="e">
        <f>AY38-#REF!</f>
        <v>#REF!</v>
      </c>
      <c r="AZ109" s="377" t="e">
        <f>AZ38-#REF!</f>
        <v>#REF!</v>
      </c>
      <c r="BA109" s="377" t="e">
        <f>BA38-#REF!</f>
        <v>#REF!</v>
      </c>
      <c r="BB109" s="377" t="e">
        <f>BB38-#REF!</f>
        <v>#REF!</v>
      </c>
      <c r="BC109" s="377" t="e">
        <f>BC38-#REF!</f>
        <v>#REF!</v>
      </c>
      <c r="BD109" s="377" t="e">
        <f>BD38-#REF!</f>
        <v>#REF!</v>
      </c>
      <c r="BE109" s="377" t="e">
        <f>BE38-#REF!</f>
        <v>#REF!</v>
      </c>
      <c r="BF109" s="377" t="e">
        <f>BF38-#REF!</f>
        <v>#REF!</v>
      </c>
      <c r="BG109" s="377" t="e">
        <f>BG38-#REF!</f>
        <v>#REF!</v>
      </c>
      <c r="BH109" s="377" t="e">
        <f>BH38-#REF!</f>
        <v>#REF!</v>
      </c>
      <c r="BI109" s="377" t="e">
        <f>BI38-#REF!</f>
        <v>#REF!</v>
      </c>
      <c r="BJ109" s="377" t="e">
        <f>BJ38-#REF!</f>
        <v>#REF!</v>
      </c>
      <c r="BK109" s="377" t="e">
        <f>BK38-#REF!</f>
        <v>#REF!</v>
      </c>
      <c r="BL109" s="377" t="e">
        <f>BL38-#REF!</f>
        <v>#REF!</v>
      </c>
      <c r="BM109" s="377" t="e">
        <f>BM38-#REF!</f>
        <v>#REF!</v>
      </c>
      <c r="BN109" s="377" t="e">
        <f>BN38-#REF!</f>
        <v>#REF!</v>
      </c>
      <c r="BO109" s="377" t="e">
        <f>BO38-#REF!</f>
        <v>#REF!</v>
      </c>
      <c r="BP109" s="377" t="e">
        <f>BP38-#REF!</f>
        <v>#REF!</v>
      </c>
      <c r="BQ109" s="377" t="e">
        <f>BQ38-#REF!</f>
        <v>#REF!</v>
      </c>
      <c r="BR109" s="377" t="e">
        <f>BR38-#REF!</f>
        <v>#REF!</v>
      </c>
      <c r="BS109" s="377" t="e">
        <f>BS38-#REF!</f>
        <v>#REF!</v>
      </c>
      <c r="BT109" s="377" t="e">
        <f>BT38-#REF!</f>
        <v>#REF!</v>
      </c>
      <c r="BU109" s="377" t="e">
        <f>BU38-#REF!</f>
        <v>#REF!</v>
      </c>
      <c r="BV109" s="377"/>
      <c r="BW109" s="377">
        <f>[18]domlongtermissues!BV99</f>
        <v>0</v>
      </c>
      <c r="BY109" s="38"/>
    </row>
    <row r="110" spans="13:77" hidden="1" x14ac:dyDescent="0.2">
      <c r="M110" s="377" t="e">
        <f>M39-#REF!</f>
        <v>#REF!</v>
      </c>
      <c r="N110" s="377" t="e">
        <f>N39-#REF!</f>
        <v>#REF!</v>
      </c>
      <c r="O110" s="377" t="e">
        <f>O39-#REF!</f>
        <v>#REF!</v>
      </c>
      <c r="P110" s="377" t="e">
        <f>P39-#REF!</f>
        <v>#REF!</v>
      </c>
      <c r="Q110" s="377" t="e">
        <f>Q39-#REF!</f>
        <v>#REF!</v>
      </c>
      <c r="R110" s="377" t="e">
        <f>R39-#REF!</f>
        <v>#REF!</v>
      </c>
      <c r="S110" s="377" t="e">
        <f>S39-#REF!</f>
        <v>#REF!</v>
      </c>
      <c r="T110" s="377" t="e">
        <f>T39-#REF!</f>
        <v>#REF!</v>
      </c>
      <c r="U110" s="377" t="e">
        <f>U39-#REF!</f>
        <v>#REF!</v>
      </c>
      <c r="V110" s="377" t="e">
        <f>V39-#REF!</f>
        <v>#REF!</v>
      </c>
      <c r="W110" s="377" t="e">
        <f>W39-#REF!</f>
        <v>#REF!</v>
      </c>
      <c r="X110" s="377" t="e">
        <f>X39-#REF!</f>
        <v>#REF!</v>
      </c>
      <c r="Y110" s="377" t="e">
        <f>Y39-#REF!</f>
        <v>#REF!</v>
      </c>
      <c r="Z110" s="377" t="e">
        <f>Z39-#REF!</f>
        <v>#REF!</v>
      </c>
      <c r="AA110" s="377" t="e">
        <f>AA39-#REF!</f>
        <v>#REF!</v>
      </c>
      <c r="AB110" s="377" t="e">
        <f>AB39-#REF!</f>
        <v>#REF!</v>
      </c>
      <c r="AC110" s="377" t="e">
        <f>AC39-#REF!</f>
        <v>#REF!</v>
      </c>
      <c r="AD110" s="377" t="e">
        <f>AD39-#REF!</f>
        <v>#REF!</v>
      </c>
      <c r="AE110" s="377" t="e">
        <f>AE39-#REF!</f>
        <v>#REF!</v>
      </c>
      <c r="AF110" s="377" t="e">
        <f>AF39-#REF!</f>
        <v>#REF!</v>
      </c>
      <c r="AG110" s="377" t="e">
        <f>AG39-#REF!</f>
        <v>#REF!</v>
      </c>
      <c r="AH110" s="377" t="e">
        <f>AH39-#REF!</f>
        <v>#REF!</v>
      </c>
      <c r="AI110" s="377" t="e">
        <f>AI39-#REF!</f>
        <v>#REF!</v>
      </c>
      <c r="AJ110" s="377" t="e">
        <f>AJ39-#REF!</f>
        <v>#REF!</v>
      </c>
      <c r="AK110" s="377" t="e">
        <f>AK39-#REF!</f>
        <v>#REF!</v>
      </c>
      <c r="AL110" s="377" t="e">
        <f>AL39-#REF!</f>
        <v>#REF!</v>
      </c>
      <c r="AM110" s="377" t="e">
        <f>AM39-#REF!</f>
        <v>#REF!</v>
      </c>
      <c r="AN110" s="377" t="e">
        <f>AN39-#REF!</f>
        <v>#REF!</v>
      </c>
      <c r="AO110" s="377" t="e">
        <f>AO39-#REF!</f>
        <v>#REF!</v>
      </c>
      <c r="AP110" s="377" t="e">
        <f>AP39-#REF!</f>
        <v>#REF!</v>
      </c>
      <c r="AQ110" s="377" t="e">
        <f>AQ39-#REF!</f>
        <v>#REF!</v>
      </c>
      <c r="AR110" s="377" t="e">
        <f>AR39-#REF!</f>
        <v>#REF!</v>
      </c>
      <c r="AS110" s="377" t="e">
        <f>AS39-#REF!</f>
        <v>#REF!</v>
      </c>
      <c r="AT110" s="377" t="e">
        <f>AT39-#REF!</f>
        <v>#REF!</v>
      </c>
      <c r="AU110" s="377" t="e">
        <f>AU39-#REF!</f>
        <v>#REF!</v>
      </c>
      <c r="AV110" s="377" t="e">
        <f>AV39-#REF!</f>
        <v>#REF!</v>
      </c>
      <c r="AW110" s="377" t="e">
        <f>AW39-#REF!</f>
        <v>#REF!</v>
      </c>
      <c r="AX110" s="377" t="e">
        <f>AX39-#REF!</f>
        <v>#REF!</v>
      </c>
      <c r="AY110" s="377" t="e">
        <f>AY39-#REF!</f>
        <v>#REF!</v>
      </c>
      <c r="AZ110" s="377" t="e">
        <f>AZ39-#REF!</f>
        <v>#REF!</v>
      </c>
      <c r="BA110" s="377" t="e">
        <f>BA39-#REF!</f>
        <v>#REF!</v>
      </c>
      <c r="BB110" s="377" t="e">
        <f>BB39-#REF!</f>
        <v>#REF!</v>
      </c>
      <c r="BC110" s="377" t="e">
        <f>BC39-#REF!</f>
        <v>#REF!</v>
      </c>
      <c r="BD110" s="377" t="e">
        <f>BD39-#REF!</f>
        <v>#REF!</v>
      </c>
      <c r="BE110" s="377" t="e">
        <f>BE39-#REF!</f>
        <v>#REF!</v>
      </c>
      <c r="BF110" s="377" t="e">
        <f>BF39-#REF!</f>
        <v>#REF!</v>
      </c>
      <c r="BG110" s="377" t="e">
        <f>BG39-#REF!</f>
        <v>#REF!</v>
      </c>
      <c r="BH110" s="377" t="e">
        <f>BH39-#REF!</f>
        <v>#REF!</v>
      </c>
      <c r="BI110" s="377" t="e">
        <f>BI39-#REF!</f>
        <v>#REF!</v>
      </c>
      <c r="BJ110" s="377" t="e">
        <f>BJ39-#REF!</f>
        <v>#REF!</v>
      </c>
      <c r="BK110" s="377" t="e">
        <f>BK39-#REF!</f>
        <v>#REF!</v>
      </c>
      <c r="BL110" s="377" t="e">
        <f>BL39-#REF!</f>
        <v>#REF!</v>
      </c>
      <c r="BM110" s="377" t="e">
        <f>BM39-#REF!</f>
        <v>#REF!</v>
      </c>
      <c r="BN110" s="377" t="e">
        <f>BN39-#REF!</f>
        <v>#REF!</v>
      </c>
      <c r="BO110" s="377" t="e">
        <f>BO39-#REF!</f>
        <v>#REF!</v>
      </c>
      <c r="BP110" s="377" t="e">
        <f>BP39-#REF!</f>
        <v>#REF!</v>
      </c>
      <c r="BQ110" s="377" t="e">
        <f>BQ39-#REF!</f>
        <v>#REF!</v>
      </c>
      <c r="BR110" s="377" t="e">
        <f>BR39-#REF!</f>
        <v>#REF!</v>
      </c>
      <c r="BS110" s="377" t="e">
        <f>BS39-#REF!</f>
        <v>#REF!</v>
      </c>
      <c r="BT110" s="377" t="e">
        <f>BT39-#REF!</f>
        <v>#REF!</v>
      </c>
      <c r="BU110" s="377" t="e">
        <f>BU39-#REF!</f>
        <v>#REF!</v>
      </c>
      <c r="BV110" s="377"/>
      <c r="BW110" s="377"/>
      <c r="BY110" s="38"/>
    </row>
    <row r="111" spans="13:77" hidden="1" x14ac:dyDescent="0.2">
      <c r="M111" s="377" t="e">
        <f>M40-#REF!</f>
        <v>#REF!</v>
      </c>
      <c r="N111" s="377" t="e">
        <f>N40-#REF!</f>
        <v>#REF!</v>
      </c>
      <c r="O111" s="377" t="e">
        <f>O40-#REF!</f>
        <v>#REF!</v>
      </c>
      <c r="P111" s="377" t="e">
        <f>P40-#REF!</f>
        <v>#REF!</v>
      </c>
      <c r="Q111" s="377" t="e">
        <f>Q40-#REF!</f>
        <v>#REF!</v>
      </c>
      <c r="R111" s="377" t="e">
        <f>R40-#REF!</f>
        <v>#REF!</v>
      </c>
      <c r="S111" s="377" t="e">
        <f>S40-#REF!</f>
        <v>#REF!</v>
      </c>
      <c r="T111" s="377" t="e">
        <f>T40-#REF!</f>
        <v>#REF!</v>
      </c>
      <c r="U111" s="377" t="e">
        <f>U40-#REF!</f>
        <v>#REF!</v>
      </c>
      <c r="V111" s="377" t="e">
        <f>V40-#REF!</f>
        <v>#REF!</v>
      </c>
      <c r="W111" s="377" t="e">
        <f>W40-#REF!</f>
        <v>#REF!</v>
      </c>
      <c r="X111" s="377" t="e">
        <f>X40-#REF!</f>
        <v>#REF!</v>
      </c>
      <c r="Y111" s="377" t="e">
        <f>Y40-#REF!</f>
        <v>#REF!</v>
      </c>
      <c r="Z111" s="377" t="e">
        <f>Z40-#REF!</f>
        <v>#REF!</v>
      </c>
      <c r="AA111" s="377" t="e">
        <f>AA40-#REF!</f>
        <v>#REF!</v>
      </c>
      <c r="AB111" s="377" t="e">
        <f>AB40-#REF!</f>
        <v>#REF!</v>
      </c>
      <c r="AC111" s="377" t="e">
        <f>AC40-#REF!</f>
        <v>#REF!</v>
      </c>
      <c r="AD111" s="377" t="e">
        <f>AD40-#REF!</f>
        <v>#REF!</v>
      </c>
      <c r="AE111" s="377" t="e">
        <f>AE40-#REF!</f>
        <v>#REF!</v>
      </c>
      <c r="AF111" s="377" t="e">
        <f>AF40-#REF!</f>
        <v>#REF!</v>
      </c>
      <c r="AG111" s="377" t="e">
        <f>AG40-#REF!</f>
        <v>#REF!</v>
      </c>
      <c r="AH111" s="377" t="e">
        <f>AH40-#REF!</f>
        <v>#REF!</v>
      </c>
      <c r="AI111" s="377" t="e">
        <f>AI40-#REF!</f>
        <v>#REF!</v>
      </c>
      <c r="AJ111" s="377" t="e">
        <f>AJ40-#REF!</f>
        <v>#REF!</v>
      </c>
      <c r="AK111" s="377" t="e">
        <f>AK40-#REF!</f>
        <v>#REF!</v>
      </c>
      <c r="AL111" s="377" t="e">
        <f>AL40-#REF!</f>
        <v>#REF!</v>
      </c>
      <c r="AM111" s="377" t="e">
        <f>AM40-#REF!</f>
        <v>#REF!</v>
      </c>
      <c r="AN111" s="377" t="e">
        <f>AN40-#REF!</f>
        <v>#REF!</v>
      </c>
      <c r="AO111" s="377" t="e">
        <f>AO40-#REF!</f>
        <v>#REF!</v>
      </c>
      <c r="AP111" s="377" t="e">
        <f>AP40-#REF!</f>
        <v>#REF!</v>
      </c>
      <c r="AQ111" s="377" t="e">
        <f>AQ40-#REF!</f>
        <v>#REF!</v>
      </c>
      <c r="AR111" s="377" t="e">
        <f>AR40-#REF!</f>
        <v>#REF!</v>
      </c>
      <c r="AS111" s="377" t="e">
        <f>AS40-#REF!</f>
        <v>#REF!</v>
      </c>
      <c r="AT111" s="377" t="e">
        <f>AT40-#REF!</f>
        <v>#REF!</v>
      </c>
      <c r="AU111" s="377" t="e">
        <f>AU40-#REF!</f>
        <v>#REF!</v>
      </c>
      <c r="AV111" s="377" t="e">
        <f>AV40-#REF!</f>
        <v>#REF!</v>
      </c>
      <c r="AW111" s="377" t="e">
        <f>AW40-#REF!</f>
        <v>#REF!</v>
      </c>
      <c r="AX111" s="377" t="e">
        <f>AX40-#REF!</f>
        <v>#REF!</v>
      </c>
      <c r="AY111" s="377" t="e">
        <f>AY40-#REF!</f>
        <v>#REF!</v>
      </c>
      <c r="AZ111" s="377" t="e">
        <f>AZ40-#REF!</f>
        <v>#REF!</v>
      </c>
      <c r="BA111" s="377" t="e">
        <f>BA40-#REF!</f>
        <v>#REF!</v>
      </c>
      <c r="BB111" s="377" t="e">
        <f>BB40-#REF!</f>
        <v>#REF!</v>
      </c>
      <c r="BC111" s="377" t="e">
        <f>BC40-#REF!</f>
        <v>#REF!</v>
      </c>
      <c r="BD111" s="377" t="e">
        <f>BD40-#REF!</f>
        <v>#REF!</v>
      </c>
      <c r="BE111" s="377" t="e">
        <f>BE40-#REF!</f>
        <v>#REF!</v>
      </c>
      <c r="BF111" s="377" t="e">
        <f>BF40-#REF!</f>
        <v>#REF!</v>
      </c>
      <c r="BG111" s="377" t="e">
        <f>BG40-#REF!</f>
        <v>#REF!</v>
      </c>
      <c r="BH111" s="377" t="e">
        <f>BH40-#REF!</f>
        <v>#REF!</v>
      </c>
      <c r="BI111" s="377" t="e">
        <f>BI40-#REF!</f>
        <v>#REF!</v>
      </c>
      <c r="BJ111" s="377" t="e">
        <f>BJ40-#REF!</f>
        <v>#REF!</v>
      </c>
      <c r="BK111" s="377" t="e">
        <f>BK40-#REF!</f>
        <v>#REF!</v>
      </c>
      <c r="BL111" s="377" t="e">
        <f>BL40-#REF!</f>
        <v>#REF!</v>
      </c>
      <c r="BM111" s="377" t="e">
        <f>BM40-#REF!</f>
        <v>#REF!</v>
      </c>
      <c r="BN111" s="377" t="e">
        <f>BN40-#REF!</f>
        <v>#REF!</v>
      </c>
      <c r="BO111" s="377" t="e">
        <f>BO40-#REF!</f>
        <v>#REF!</v>
      </c>
      <c r="BP111" s="377" t="e">
        <f>BP40-#REF!</f>
        <v>#REF!</v>
      </c>
      <c r="BQ111" s="377" t="e">
        <f>BQ40-#REF!</f>
        <v>#REF!</v>
      </c>
      <c r="BR111" s="377" t="e">
        <f>BR40-#REF!</f>
        <v>#REF!</v>
      </c>
      <c r="BS111" s="377" t="e">
        <f>BS40-#REF!</f>
        <v>#REF!</v>
      </c>
      <c r="BT111" s="377" t="e">
        <f>BT40-#REF!</f>
        <v>#REF!</v>
      </c>
      <c r="BU111" s="377" t="e">
        <f>BU40-#REF!</f>
        <v>#REF!</v>
      </c>
      <c r="BV111" s="377"/>
      <c r="BW111" s="377"/>
      <c r="BY111" s="38"/>
    </row>
    <row r="112" spans="13:77" hidden="1" x14ac:dyDescent="0.2">
      <c r="M112" s="377" t="e">
        <f>M41-#REF!</f>
        <v>#REF!</v>
      </c>
      <c r="N112" s="377" t="e">
        <f>N41-#REF!</f>
        <v>#REF!</v>
      </c>
      <c r="O112" s="377" t="e">
        <f>O41-#REF!</f>
        <v>#REF!</v>
      </c>
      <c r="P112" s="377" t="e">
        <f>P41-#REF!</f>
        <v>#REF!</v>
      </c>
      <c r="Q112" s="377" t="e">
        <f>Q41-#REF!</f>
        <v>#REF!</v>
      </c>
      <c r="R112" s="377" t="e">
        <f>R41-#REF!</f>
        <v>#REF!</v>
      </c>
      <c r="S112" s="377" t="e">
        <f>S41-#REF!</f>
        <v>#REF!</v>
      </c>
      <c r="T112" s="377" t="e">
        <f>T41-#REF!</f>
        <v>#REF!</v>
      </c>
      <c r="U112" s="377" t="e">
        <f>U41-#REF!</f>
        <v>#REF!</v>
      </c>
      <c r="V112" s="377" t="e">
        <f>V41-#REF!</f>
        <v>#REF!</v>
      </c>
      <c r="W112" s="377" t="e">
        <f>W41-#REF!</f>
        <v>#REF!</v>
      </c>
      <c r="X112" s="377" t="e">
        <f>X41-#REF!</f>
        <v>#REF!</v>
      </c>
      <c r="Y112" s="377" t="e">
        <f>Y41-#REF!</f>
        <v>#REF!</v>
      </c>
      <c r="Z112" s="377" t="e">
        <f>Z41-#REF!</f>
        <v>#REF!</v>
      </c>
      <c r="AA112" s="377" t="e">
        <f>AA41-#REF!</f>
        <v>#REF!</v>
      </c>
      <c r="AB112" s="377" t="e">
        <f>AB41-#REF!</f>
        <v>#REF!</v>
      </c>
      <c r="AC112" s="377" t="e">
        <f>AC41-#REF!</f>
        <v>#REF!</v>
      </c>
      <c r="AD112" s="377" t="e">
        <f>AD41-#REF!</f>
        <v>#REF!</v>
      </c>
      <c r="AE112" s="377" t="e">
        <f>AE41-#REF!</f>
        <v>#REF!</v>
      </c>
      <c r="AF112" s="377" t="e">
        <f>AF41-#REF!</f>
        <v>#REF!</v>
      </c>
      <c r="AG112" s="377" t="e">
        <f>AG41-#REF!</f>
        <v>#REF!</v>
      </c>
      <c r="AH112" s="377" t="e">
        <f>AH41-#REF!</f>
        <v>#REF!</v>
      </c>
      <c r="AI112" s="377" t="e">
        <f>AI41-#REF!</f>
        <v>#REF!</v>
      </c>
      <c r="AJ112" s="377" t="e">
        <f>AJ41-#REF!</f>
        <v>#REF!</v>
      </c>
      <c r="AK112" s="377" t="e">
        <f>AK41-#REF!</f>
        <v>#REF!</v>
      </c>
      <c r="AL112" s="377" t="e">
        <f>AL41-#REF!</f>
        <v>#REF!</v>
      </c>
      <c r="AM112" s="377" t="e">
        <f>AM41-#REF!</f>
        <v>#REF!</v>
      </c>
      <c r="AN112" s="377" t="e">
        <f>AN41-#REF!</f>
        <v>#REF!</v>
      </c>
      <c r="AO112" s="377" t="e">
        <f>AO41-#REF!</f>
        <v>#REF!</v>
      </c>
      <c r="AP112" s="377" t="e">
        <f>AP41-#REF!</f>
        <v>#REF!</v>
      </c>
      <c r="AQ112" s="377" t="e">
        <f>AQ41-#REF!</f>
        <v>#REF!</v>
      </c>
      <c r="AR112" s="377" t="e">
        <f>AR41-#REF!</f>
        <v>#REF!</v>
      </c>
      <c r="AS112" s="377" t="e">
        <f>AS41-#REF!</f>
        <v>#REF!</v>
      </c>
      <c r="AT112" s="377" t="e">
        <f>AT41-#REF!</f>
        <v>#REF!</v>
      </c>
      <c r="AU112" s="377" t="e">
        <f>AU41-#REF!</f>
        <v>#REF!</v>
      </c>
      <c r="AV112" s="377" t="e">
        <f>AV41-#REF!</f>
        <v>#REF!</v>
      </c>
      <c r="AW112" s="377" t="e">
        <f>AW41-#REF!</f>
        <v>#REF!</v>
      </c>
      <c r="AX112" s="377" t="e">
        <f>AX41-#REF!</f>
        <v>#REF!</v>
      </c>
      <c r="AY112" s="377" t="e">
        <f>AY41-#REF!</f>
        <v>#REF!</v>
      </c>
      <c r="AZ112" s="377" t="e">
        <f>AZ41-#REF!</f>
        <v>#REF!</v>
      </c>
      <c r="BA112" s="377" t="e">
        <f>BA41-#REF!</f>
        <v>#REF!</v>
      </c>
      <c r="BB112" s="377" t="e">
        <f>BB41-#REF!</f>
        <v>#REF!</v>
      </c>
      <c r="BC112" s="377" t="e">
        <f>BC41-#REF!</f>
        <v>#REF!</v>
      </c>
      <c r="BD112" s="377" t="e">
        <f>BD41-#REF!</f>
        <v>#REF!</v>
      </c>
      <c r="BE112" s="377" t="e">
        <f>BE41-#REF!</f>
        <v>#REF!</v>
      </c>
      <c r="BF112" s="377" t="e">
        <f>BF41-#REF!</f>
        <v>#REF!</v>
      </c>
      <c r="BG112" s="377" t="e">
        <f>BG41-#REF!</f>
        <v>#REF!</v>
      </c>
      <c r="BH112" s="377" t="e">
        <f>BH41-#REF!</f>
        <v>#REF!</v>
      </c>
      <c r="BI112" s="377" t="e">
        <f>BI41-#REF!</f>
        <v>#REF!</v>
      </c>
      <c r="BJ112" s="377" t="e">
        <f>BJ41-#REF!</f>
        <v>#REF!</v>
      </c>
      <c r="BK112" s="377" t="e">
        <f>BK41-#REF!</f>
        <v>#REF!</v>
      </c>
      <c r="BL112" s="377" t="e">
        <f>BL41-#REF!</f>
        <v>#REF!</v>
      </c>
      <c r="BM112" s="377" t="e">
        <f>BM41-#REF!</f>
        <v>#REF!</v>
      </c>
      <c r="BN112" s="377" t="e">
        <f>BN41-#REF!</f>
        <v>#REF!</v>
      </c>
      <c r="BO112" s="377" t="e">
        <f>BO41-#REF!</f>
        <v>#REF!</v>
      </c>
      <c r="BP112" s="377" t="e">
        <f>BP41-#REF!</f>
        <v>#REF!</v>
      </c>
      <c r="BQ112" s="377" t="e">
        <f>BQ41-#REF!</f>
        <v>#REF!</v>
      </c>
      <c r="BR112" s="377" t="e">
        <f>BR41-#REF!</f>
        <v>#REF!</v>
      </c>
      <c r="BS112" s="377" t="e">
        <f>BS41-#REF!</f>
        <v>#REF!</v>
      </c>
      <c r="BT112" s="377" t="e">
        <f>BT41-#REF!</f>
        <v>#REF!</v>
      </c>
      <c r="BU112" s="377" t="e">
        <f>BU41-#REF!</f>
        <v>#REF!</v>
      </c>
      <c r="BV112" s="377"/>
      <c r="BW112" s="377"/>
      <c r="BY112" s="38"/>
    </row>
    <row r="113" spans="74:77" hidden="1" x14ac:dyDescent="0.2">
      <c r="BV113" s="377"/>
      <c r="BW113" s="411">
        <f>+BW114+BW122+BW129</f>
        <v>0</v>
      </c>
      <c r="BY113" s="38"/>
    </row>
    <row r="114" spans="74:77" hidden="1" x14ac:dyDescent="0.2">
      <c r="BV114" s="377"/>
      <c r="BW114" s="377">
        <f>SUM(BW115:BW120)</f>
        <v>0</v>
      </c>
      <c r="BY114" s="38"/>
    </row>
    <row r="115" spans="74:77" hidden="1" x14ac:dyDescent="0.2">
      <c r="BV115" s="377"/>
      <c r="BW115" s="377">
        <f>+[18]foreigndebt!BV114</f>
        <v>0</v>
      </c>
      <c r="BY115" s="38"/>
    </row>
    <row r="116" spans="74:77" hidden="1" x14ac:dyDescent="0.2">
      <c r="BV116" s="377"/>
      <c r="BW116" s="377">
        <f>-[18]foreigndebt!BV116</f>
        <v>0</v>
      </c>
      <c r="BY116" s="38"/>
    </row>
    <row r="117" spans="74:77" hidden="1" x14ac:dyDescent="0.2">
      <c r="BV117" s="377"/>
      <c r="BW117" s="377"/>
      <c r="BY117" s="38"/>
    </row>
    <row r="118" spans="74:77" hidden="1" x14ac:dyDescent="0.2">
      <c r="BV118" s="377"/>
      <c r="BW118" s="377"/>
      <c r="BY118" s="38"/>
    </row>
    <row r="119" spans="74:77" hidden="1" x14ac:dyDescent="0.2">
      <c r="BV119" s="377"/>
      <c r="BW119" s="377">
        <f>-[18]foreigndebt!BV185</f>
        <v>0</v>
      </c>
      <c r="BY119" s="38"/>
    </row>
    <row r="120" spans="74:77" hidden="1" x14ac:dyDescent="0.2">
      <c r="BV120" s="377"/>
      <c r="BW120" s="377">
        <f>-[18]foreigndebt!BV186</f>
        <v>0</v>
      </c>
      <c r="BY120" s="38"/>
    </row>
    <row r="121" spans="74:77" hidden="1" x14ac:dyDescent="0.2">
      <c r="BV121" s="377"/>
      <c r="BW121" s="377"/>
      <c r="BY121" s="38"/>
    </row>
    <row r="122" spans="74:77" hidden="1" x14ac:dyDescent="0.2">
      <c r="BV122" s="377"/>
      <c r="BW122" s="377">
        <f>SUM(BW123:BW127)</f>
        <v>0</v>
      </c>
      <c r="BY122" s="38"/>
    </row>
    <row r="123" spans="74:77" hidden="1" x14ac:dyDescent="0.2">
      <c r="BV123" s="377"/>
      <c r="BW123" s="377">
        <f>[18]foreigndebt!BV135</f>
        <v>0</v>
      </c>
      <c r="BY123" s="38"/>
    </row>
    <row r="124" spans="74:77" hidden="1" x14ac:dyDescent="0.2">
      <c r="BV124" s="377"/>
      <c r="BW124" s="377">
        <f>-[18]foreigndebt!BV137</f>
        <v>0</v>
      </c>
      <c r="BY124" s="38"/>
    </row>
    <row r="125" spans="74:77" hidden="1" x14ac:dyDescent="0.2">
      <c r="BV125" s="377"/>
      <c r="BW125" s="377"/>
      <c r="BY125" s="38"/>
    </row>
    <row r="126" spans="74:77" hidden="1" x14ac:dyDescent="0.2">
      <c r="BV126" s="377"/>
      <c r="BW126" s="377">
        <f>-[18]foreigndebt!BV228</f>
        <v>0</v>
      </c>
      <c r="BY126" s="38"/>
    </row>
    <row r="127" spans="74:77" hidden="1" x14ac:dyDescent="0.2">
      <c r="BV127" s="377"/>
      <c r="BW127" s="377">
        <f>-[18]foreigndebt!BV229</f>
        <v>0</v>
      </c>
      <c r="BY127" s="38"/>
    </row>
    <row r="128" spans="74:77" hidden="1" x14ac:dyDescent="0.2">
      <c r="BV128" s="377"/>
      <c r="BW128" s="377"/>
      <c r="BY128" s="38"/>
    </row>
    <row r="129" spans="74:77" hidden="1" x14ac:dyDescent="0.2">
      <c r="BV129" s="377"/>
      <c r="BW129" s="377">
        <f>SUM(BW130:BW134)</f>
        <v>0</v>
      </c>
      <c r="BY129" s="38"/>
    </row>
    <row r="130" spans="74:77" hidden="1" x14ac:dyDescent="0.2">
      <c r="BV130" s="377"/>
      <c r="BW130" s="377">
        <f>[18]foreigndebt!BV149</f>
        <v>0</v>
      </c>
      <c r="BY130" s="38"/>
    </row>
    <row r="131" spans="74:77" hidden="1" x14ac:dyDescent="0.2">
      <c r="BV131" s="377"/>
      <c r="BW131" s="377">
        <f>-[18]foreigndebt!BV151</f>
        <v>0</v>
      </c>
      <c r="BY131" s="38"/>
    </row>
    <row r="132" spans="74:77" hidden="1" x14ac:dyDescent="0.2">
      <c r="BV132" s="377"/>
      <c r="BW132" s="377"/>
      <c r="BY132" s="38"/>
    </row>
    <row r="133" spans="74:77" hidden="1" x14ac:dyDescent="0.2">
      <c r="BV133" s="377"/>
      <c r="BW133" s="377">
        <f>-[18]foreigndebt!BV240</f>
        <v>0</v>
      </c>
      <c r="BY133" s="38"/>
    </row>
    <row r="134" spans="74:77" hidden="1" x14ac:dyDescent="0.2">
      <c r="BV134" s="377"/>
      <c r="BW134" s="377">
        <f>-[18]foreigndebt!BV241</f>
        <v>0</v>
      </c>
      <c r="BY134" s="38"/>
    </row>
    <row r="135" spans="74:77" hidden="1" x14ac:dyDescent="0.2">
      <c r="BV135" s="377"/>
      <c r="BW135" s="377"/>
      <c r="BY135" s="38"/>
    </row>
    <row r="136" spans="74:77" hidden="1" x14ac:dyDescent="0.2">
      <c r="BV136" s="377"/>
      <c r="BW136" s="377"/>
      <c r="BY136" s="38"/>
    </row>
    <row r="137" spans="74:77" hidden="1" x14ac:dyDescent="0.2">
      <c r="BV137" s="377"/>
      <c r="BW137" s="411">
        <f>SUM(BW138:BW145)</f>
        <v>1</v>
      </c>
      <c r="BY137" s="38"/>
    </row>
    <row r="138" spans="74:77" hidden="1" x14ac:dyDescent="0.2">
      <c r="BV138" s="377"/>
      <c r="BW138" s="377">
        <f>+[18]cashbalances!BW86</f>
        <v>0</v>
      </c>
      <c r="BY138" s="38"/>
    </row>
    <row r="139" spans="74:77" hidden="1" x14ac:dyDescent="0.2">
      <c r="BV139" s="377"/>
      <c r="BW139" s="377"/>
      <c r="BY139" s="38"/>
    </row>
    <row r="140" spans="74:77" hidden="1" x14ac:dyDescent="0.2">
      <c r="BV140" s="377"/>
      <c r="BW140" s="377">
        <f>+[18]cashbalances!BW97</f>
        <v>0</v>
      </c>
      <c r="BY140" s="38"/>
    </row>
    <row r="141" spans="74:77" hidden="1" x14ac:dyDescent="0.2">
      <c r="BV141" s="377"/>
      <c r="BW141" s="377">
        <f>[18]cashbalances!BW99</f>
        <v>0</v>
      </c>
      <c r="BY141" s="38"/>
    </row>
    <row r="142" spans="74:77" hidden="1" x14ac:dyDescent="0.2">
      <c r="BV142" s="377"/>
      <c r="BW142" s="377">
        <f>+[18]cashbalances!BW101</f>
        <v>0</v>
      </c>
      <c r="BY142" s="38"/>
    </row>
    <row r="143" spans="74:77" hidden="1" x14ac:dyDescent="0.2">
      <c r="BV143" s="377"/>
      <c r="BW143" s="377">
        <f>+[18]cashbalances!BW106</f>
        <v>0</v>
      </c>
      <c r="BY143" s="38"/>
    </row>
    <row r="144" spans="74:77" hidden="1" x14ac:dyDescent="0.2">
      <c r="BV144" s="377"/>
      <c r="BW144" s="377"/>
      <c r="BY144" s="38"/>
    </row>
    <row r="145" spans="74:77" x14ac:dyDescent="0.2">
      <c r="BV145" s="377"/>
      <c r="BW145" s="377">
        <f>+[18]cashbalances!BW112+1</f>
        <v>1</v>
      </c>
      <c r="BY145" s="38"/>
    </row>
    <row r="146" spans="74:77" x14ac:dyDescent="0.2">
      <c r="BV146" s="377"/>
      <c r="BW146" s="377"/>
      <c r="BY146" s="38"/>
    </row>
    <row r="147" spans="74:77" x14ac:dyDescent="0.2">
      <c r="BV147" s="377"/>
      <c r="BW147" s="411" t="e">
        <f>+BW81+BW91+BW113+BW137</f>
        <v>#REF!</v>
      </c>
      <c r="BY147" s="38"/>
    </row>
    <row r="148" spans="74:77" x14ac:dyDescent="0.2">
      <c r="BV148" s="377"/>
      <c r="BW148" s="377"/>
      <c r="BY148" s="38"/>
    </row>
  </sheetData>
  <mergeCells count="1">
    <mergeCell ref="H8:BU8"/>
  </mergeCells>
  <pageMargins left="0.7" right="0.7" top="0.75" bottom="0.75" header="0.3" footer="0.3"/>
  <pageSetup scale="51"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358"/>
  <sheetViews>
    <sheetView view="pageBreakPreview" topLeftCell="C7" zoomScaleNormal="100" zoomScaleSheetLayoutView="100" workbookViewId="0">
      <selection activeCell="CD35" sqref="CD35"/>
    </sheetView>
  </sheetViews>
  <sheetFormatPr defaultColWidth="10" defaultRowHeight="12.75" x14ac:dyDescent="0.2"/>
  <cols>
    <col min="1" max="1" width="1.85546875" style="38" hidden="1" customWidth="1"/>
    <col min="2" max="2" width="1.140625" style="38" hidden="1" customWidth="1"/>
    <col min="3" max="3" width="1" style="38" customWidth="1"/>
    <col min="4" max="4" width="56" style="38" customWidth="1"/>
    <col min="5" max="5" width="1" style="417" customWidth="1"/>
    <col min="6" max="6" width="1" style="38" customWidth="1"/>
    <col min="7" max="7" width="13.7109375" style="38" customWidth="1"/>
    <col min="8" max="11" width="1" style="38" customWidth="1"/>
    <col min="12" max="12" width="13.7109375" style="38" customWidth="1"/>
    <col min="13" max="16" width="1" style="38" customWidth="1"/>
    <col min="17" max="17" width="13.7109375" style="38" customWidth="1"/>
    <col min="18" max="21" width="1" style="38" customWidth="1"/>
    <col min="22" max="22" width="13.7109375" style="38" customWidth="1"/>
    <col min="23" max="26" width="1" style="38" customWidth="1"/>
    <col min="27" max="27" width="13.7109375" style="38" customWidth="1"/>
    <col min="28" max="31" width="1" style="38" customWidth="1"/>
    <col min="32" max="32" width="13.7109375" style="38" customWidth="1"/>
    <col min="33" max="35" width="1" style="38" customWidth="1"/>
    <col min="36" max="36" width="1.140625" style="38" customWidth="1"/>
    <col min="37" max="37" width="13.7109375" style="38" customWidth="1"/>
    <col min="38" max="39" width="1" style="38" customWidth="1"/>
    <col min="40" max="41" width="1" style="38" hidden="1" customWidth="1"/>
    <col min="42" max="42" width="17.85546875" style="38" hidden="1" customWidth="1"/>
    <col min="43" max="46" width="1" style="38" hidden="1" customWidth="1"/>
    <col min="47" max="47" width="17.85546875" style="38" hidden="1" customWidth="1"/>
    <col min="48" max="51" width="1" style="38" hidden="1" customWidth="1"/>
    <col min="52" max="52" width="17.85546875" style="38" hidden="1" customWidth="1"/>
    <col min="53" max="56" width="1" style="38" hidden="1" customWidth="1"/>
    <col min="57" max="57" width="17.85546875" style="38" hidden="1" customWidth="1"/>
    <col min="58" max="61" width="1" style="38" hidden="1" customWidth="1"/>
    <col min="62" max="62" width="17.85546875" style="38" hidden="1" customWidth="1"/>
    <col min="63" max="66" width="1" style="38" hidden="1" customWidth="1"/>
    <col min="67" max="67" width="17.85546875" style="38" hidden="1" customWidth="1"/>
    <col min="68" max="69" width="1" style="38" hidden="1" customWidth="1"/>
    <col min="70" max="71" width="1" style="38" customWidth="1"/>
    <col min="72" max="72" width="13.7109375" style="38" customWidth="1"/>
    <col min="73" max="74" width="1" style="38" customWidth="1"/>
    <col min="75" max="75" width="2" style="38" customWidth="1"/>
    <col min="76" max="76" width="3.85546875" style="38" customWidth="1"/>
    <col min="77" max="77" width="15.7109375" style="38" customWidth="1"/>
    <col min="78" max="78" width="12.85546875" style="38" bestFit="1" customWidth="1"/>
    <col min="79" max="79" width="13.85546875" style="38" customWidth="1"/>
    <col min="80" max="80" width="12.85546875" style="38" bestFit="1" customWidth="1"/>
    <col min="81" max="186" width="10" style="38"/>
    <col min="187" max="188" width="0" style="38" hidden="1" customWidth="1"/>
    <col min="189" max="189" width="1" style="38" customWidth="1"/>
    <col min="190" max="190" width="56" style="38" customWidth="1"/>
    <col min="191" max="192" width="1" style="38" customWidth="1"/>
    <col min="193" max="193" width="14.42578125" style="38" customWidth="1"/>
    <col min="194" max="195" width="1" style="38" customWidth="1"/>
    <col min="196" max="220" width="0" style="38" hidden="1" customWidth="1"/>
    <col min="221" max="221" width="1" style="38" customWidth="1"/>
    <col min="222" max="222" width="1.140625" style="38" customWidth="1"/>
    <col min="223" max="223" width="17.85546875" style="38" customWidth="1"/>
    <col min="224" max="225" width="1" style="38" customWidth="1"/>
    <col min="226" max="255" width="0" style="38" hidden="1" customWidth="1"/>
    <col min="256" max="257" width="1" style="38" customWidth="1"/>
    <col min="258" max="258" width="14.42578125" style="38" customWidth="1"/>
    <col min="259" max="262" width="1" style="38" customWidth="1"/>
    <col min="263" max="263" width="14.42578125" style="38" customWidth="1"/>
    <col min="264" max="265" width="1" style="38" customWidth="1"/>
    <col min="266" max="290" width="0" style="38" hidden="1" customWidth="1"/>
    <col min="291" max="292" width="1" style="38" customWidth="1"/>
    <col min="293" max="293" width="17.85546875" style="38" customWidth="1"/>
    <col min="294" max="295" width="1" style="38" customWidth="1"/>
    <col min="296" max="325" width="0" style="38" hidden="1" customWidth="1"/>
    <col min="326" max="327" width="1" style="38" customWidth="1"/>
    <col min="328" max="328" width="14.42578125" style="38" customWidth="1"/>
    <col min="329" max="330" width="1" style="38" customWidth="1"/>
    <col min="331" max="331" width="2" style="38" customWidth="1"/>
    <col min="332" max="332" width="3.85546875" style="38" customWidth="1"/>
    <col min="333" max="333" width="15.7109375" style="38" customWidth="1"/>
    <col min="334" max="334" width="12.85546875" style="38" bestFit="1" customWidth="1"/>
    <col min="335" max="335" width="13.85546875" style="38" customWidth="1"/>
    <col min="336" max="336" width="12.85546875" style="38" bestFit="1" customWidth="1"/>
    <col min="337" max="442" width="10" style="38"/>
    <col min="443" max="444" width="0" style="38" hidden="1" customWidth="1"/>
    <col min="445" max="445" width="1" style="38" customWidth="1"/>
    <col min="446" max="446" width="56" style="38" customWidth="1"/>
    <col min="447" max="448" width="1" style="38" customWidth="1"/>
    <col min="449" max="449" width="14.42578125" style="38" customWidth="1"/>
    <col min="450" max="451" width="1" style="38" customWidth="1"/>
    <col min="452" max="476" width="0" style="38" hidden="1" customWidth="1"/>
    <col min="477" max="477" width="1" style="38" customWidth="1"/>
    <col min="478" max="478" width="1.140625" style="38" customWidth="1"/>
    <col min="479" max="479" width="17.85546875" style="38" customWidth="1"/>
    <col min="480" max="481" width="1" style="38" customWidth="1"/>
    <col min="482" max="511" width="0" style="38" hidden="1" customWidth="1"/>
    <col min="512" max="513" width="1" style="38" customWidth="1"/>
    <col min="514" max="514" width="14.42578125" style="38" customWidth="1"/>
    <col min="515" max="518" width="1" style="38" customWidth="1"/>
    <col min="519" max="519" width="14.42578125" style="38" customWidth="1"/>
    <col min="520" max="521" width="1" style="38" customWidth="1"/>
    <col min="522" max="546" width="0" style="38" hidden="1" customWidth="1"/>
    <col min="547" max="548" width="1" style="38" customWidth="1"/>
    <col min="549" max="549" width="17.85546875" style="38" customWidth="1"/>
    <col min="550" max="551" width="1" style="38" customWidth="1"/>
    <col min="552" max="581" width="0" style="38" hidden="1" customWidth="1"/>
    <col min="582" max="583" width="1" style="38" customWidth="1"/>
    <col min="584" max="584" width="14.42578125" style="38" customWidth="1"/>
    <col min="585" max="586" width="1" style="38" customWidth="1"/>
    <col min="587" max="587" width="2" style="38" customWidth="1"/>
    <col min="588" max="588" width="3.85546875" style="38" customWidth="1"/>
    <col min="589" max="589" width="15.7109375" style="38" customWidth="1"/>
    <col min="590" max="590" width="12.85546875" style="38" bestFit="1" customWidth="1"/>
    <col min="591" max="591" width="13.85546875" style="38" customWidth="1"/>
    <col min="592" max="592" width="12.85546875" style="38" bestFit="1" customWidth="1"/>
    <col min="593" max="698" width="10" style="38"/>
    <col min="699" max="700" width="0" style="38" hidden="1" customWidth="1"/>
    <col min="701" max="701" width="1" style="38" customWidth="1"/>
    <col min="702" max="702" width="56" style="38" customWidth="1"/>
    <col min="703" max="704" width="1" style="38" customWidth="1"/>
    <col min="705" max="705" width="14.42578125" style="38" customWidth="1"/>
    <col min="706" max="707" width="1" style="38" customWidth="1"/>
    <col min="708" max="732" width="0" style="38" hidden="1" customWidth="1"/>
    <col min="733" max="733" width="1" style="38" customWidth="1"/>
    <col min="734" max="734" width="1.140625" style="38" customWidth="1"/>
    <col min="735" max="735" width="17.85546875" style="38" customWidth="1"/>
    <col min="736" max="737" width="1" style="38" customWidth="1"/>
    <col min="738" max="767" width="0" style="38" hidden="1" customWidth="1"/>
    <col min="768" max="769" width="1" style="38" customWidth="1"/>
    <col min="770" max="770" width="14.42578125" style="38" customWidth="1"/>
    <col min="771" max="774" width="1" style="38" customWidth="1"/>
    <col min="775" max="775" width="14.42578125" style="38" customWidth="1"/>
    <col min="776" max="777" width="1" style="38" customWidth="1"/>
    <col min="778" max="802" width="0" style="38" hidden="1" customWidth="1"/>
    <col min="803" max="804" width="1" style="38" customWidth="1"/>
    <col min="805" max="805" width="17.85546875" style="38" customWidth="1"/>
    <col min="806" max="807" width="1" style="38" customWidth="1"/>
    <col min="808" max="837" width="0" style="38" hidden="1" customWidth="1"/>
    <col min="838" max="839" width="1" style="38" customWidth="1"/>
    <col min="840" max="840" width="14.42578125" style="38" customWidth="1"/>
    <col min="841" max="842" width="1" style="38" customWidth="1"/>
    <col min="843" max="843" width="2" style="38" customWidth="1"/>
    <col min="844" max="844" width="3.85546875" style="38" customWidth="1"/>
    <col min="845" max="845" width="15.7109375" style="38" customWidth="1"/>
    <col min="846" max="846" width="12.85546875" style="38" bestFit="1" customWidth="1"/>
    <col min="847" max="847" width="13.85546875" style="38" customWidth="1"/>
    <col min="848" max="848" width="12.85546875" style="38" bestFit="1" customWidth="1"/>
    <col min="849" max="954" width="10" style="38"/>
    <col min="955" max="956" width="0" style="38" hidden="1" customWidth="1"/>
    <col min="957" max="957" width="1" style="38" customWidth="1"/>
    <col min="958" max="958" width="56" style="38" customWidth="1"/>
    <col min="959" max="960" width="1" style="38" customWidth="1"/>
    <col min="961" max="961" width="14.42578125" style="38" customWidth="1"/>
    <col min="962" max="963" width="1" style="38" customWidth="1"/>
    <col min="964" max="988" width="0" style="38" hidden="1" customWidth="1"/>
    <col min="989" max="989" width="1" style="38" customWidth="1"/>
    <col min="990" max="990" width="1.140625" style="38" customWidth="1"/>
    <col min="991" max="991" width="17.85546875" style="38" customWidth="1"/>
    <col min="992" max="993" width="1" style="38" customWidth="1"/>
    <col min="994" max="1023" width="0" style="38" hidden="1" customWidth="1"/>
    <col min="1024" max="1025" width="1" style="38" customWidth="1"/>
    <col min="1026" max="1026" width="14.42578125" style="38" customWidth="1"/>
    <col min="1027" max="1030" width="1" style="38" customWidth="1"/>
    <col min="1031" max="1031" width="14.42578125" style="38" customWidth="1"/>
    <col min="1032" max="1033" width="1" style="38" customWidth="1"/>
    <col min="1034" max="1058" width="0" style="38" hidden="1" customWidth="1"/>
    <col min="1059" max="1060" width="1" style="38" customWidth="1"/>
    <col min="1061" max="1061" width="17.85546875" style="38" customWidth="1"/>
    <col min="1062" max="1063" width="1" style="38" customWidth="1"/>
    <col min="1064" max="1093" width="0" style="38" hidden="1" customWidth="1"/>
    <col min="1094" max="1095" width="1" style="38" customWidth="1"/>
    <col min="1096" max="1096" width="14.42578125" style="38" customWidth="1"/>
    <col min="1097" max="1098" width="1" style="38" customWidth="1"/>
    <col min="1099" max="1099" width="2" style="38" customWidth="1"/>
    <col min="1100" max="1100" width="3.85546875" style="38" customWidth="1"/>
    <col min="1101" max="1101" width="15.7109375" style="38" customWidth="1"/>
    <col min="1102" max="1102" width="12.85546875" style="38" bestFit="1" customWidth="1"/>
    <col min="1103" max="1103" width="13.85546875" style="38" customWidth="1"/>
    <col min="1104" max="1104" width="12.85546875" style="38" bestFit="1" customWidth="1"/>
    <col min="1105" max="1210" width="10" style="38"/>
    <col min="1211" max="1212" width="0" style="38" hidden="1" customWidth="1"/>
    <col min="1213" max="1213" width="1" style="38" customWidth="1"/>
    <col min="1214" max="1214" width="56" style="38" customWidth="1"/>
    <col min="1215" max="1216" width="1" style="38" customWidth="1"/>
    <col min="1217" max="1217" width="14.42578125" style="38" customWidth="1"/>
    <col min="1218" max="1219" width="1" style="38" customWidth="1"/>
    <col min="1220" max="1244" width="0" style="38" hidden="1" customWidth="1"/>
    <col min="1245" max="1245" width="1" style="38" customWidth="1"/>
    <col min="1246" max="1246" width="1.140625" style="38" customWidth="1"/>
    <col min="1247" max="1247" width="17.85546875" style="38" customWidth="1"/>
    <col min="1248" max="1249" width="1" style="38" customWidth="1"/>
    <col min="1250" max="1279" width="0" style="38" hidden="1" customWidth="1"/>
    <col min="1280" max="1281" width="1" style="38" customWidth="1"/>
    <col min="1282" max="1282" width="14.42578125" style="38" customWidth="1"/>
    <col min="1283" max="1286" width="1" style="38" customWidth="1"/>
    <col min="1287" max="1287" width="14.42578125" style="38" customWidth="1"/>
    <col min="1288" max="1289" width="1" style="38" customWidth="1"/>
    <col min="1290" max="1314" width="0" style="38" hidden="1" customWidth="1"/>
    <col min="1315" max="1316" width="1" style="38" customWidth="1"/>
    <col min="1317" max="1317" width="17.85546875" style="38" customWidth="1"/>
    <col min="1318" max="1319" width="1" style="38" customWidth="1"/>
    <col min="1320" max="1349" width="0" style="38" hidden="1" customWidth="1"/>
    <col min="1350" max="1351" width="1" style="38" customWidth="1"/>
    <col min="1352" max="1352" width="14.42578125" style="38" customWidth="1"/>
    <col min="1353" max="1354" width="1" style="38" customWidth="1"/>
    <col min="1355" max="1355" width="2" style="38" customWidth="1"/>
    <col min="1356" max="1356" width="3.85546875" style="38" customWidth="1"/>
    <col min="1357" max="1357" width="15.7109375" style="38" customWidth="1"/>
    <col min="1358" max="1358" width="12.85546875" style="38" bestFit="1" customWidth="1"/>
    <col min="1359" max="1359" width="13.85546875" style="38" customWidth="1"/>
    <col min="1360" max="1360" width="12.85546875" style="38" bestFit="1" customWidth="1"/>
    <col min="1361" max="1466" width="10" style="38"/>
    <col min="1467" max="1468" width="0" style="38" hidden="1" customWidth="1"/>
    <col min="1469" max="1469" width="1" style="38" customWidth="1"/>
    <col min="1470" max="1470" width="56" style="38" customWidth="1"/>
    <col min="1471" max="1472" width="1" style="38" customWidth="1"/>
    <col min="1473" max="1473" width="14.42578125" style="38" customWidth="1"/>
    <col min="1474" max="1475" width="1" style="38" customWidth="1"/>
    <col min="1476" max="1500" width="0" style="38" hidden="1" customWidth="1"/>
    <col min="1501" max="1501" width="1" style="38" customWidth="1"/>
    <col min="1502" max="1502" width="1.140625" style="38" customWidth="1"/>
    <col min="1503" max="1503" width="17.85546875" style="38" customWidth="1"/>
    <col min="1504" max="1505" width="1" style="38" customWidth="1"/>
    <col min="1506" max="1535" width="0" style="38" hidden="1" customWidth="1"/>
    <col min="1536" max="1537" width="1" style="38" customWidth="1"/>
    <col min="1538" max="1538" width="14.42578125" style="38" customWidth="1"/>
    <col min="1539" max="1542" width="1" style="38" customWidth="1"/>
    <col min="1543" max="1543" width="14.42578125" style="38" customWidth="1"/>
    <col min="1544" max="1545" width="1" style="38" customWidth="1"/>
    <col min="1546" max="1570" width="0" style="38" hidden="1" customWidth="1"/>
    <col min="1571" max="1572" width="1" style="38" customWidth="1"/>
    <col min="1573" max="1573" width="17.85546875" style="38" customWidth="1"/>
    <col min="1574" max="1575" width="1" style="38" customWidth="1"/>
    <col min="1576" max="1605" width="0" style="38" hidden="1" customWidth="1"/>
    <col min="1606" max="1607" width="1" style="38" customWidth="1"/>
    <col min="1608" max="1608" width="14.42578125" style="38" customWidth="1"/>
    <col min="1609" max="1610" width="1" style="38" customWidth="1"/>
    <col min="1611" max="1611" width="2" style="38" customWidth="1"/>
    <col min="1612" max="1612" width="3.85546875" style="38" customWidth="1"/>
    <col min="1613" max="1613" width="15.7109375" style="38" customWidth="1"/>
    <col min="1614" max="1614" width="12.85546875" style="38" bestFit="1" customWidth="1"/>
    <col min="1615" max="1615" width="13.85546875" style="38" customWidth="1"/>
    <col min="1616" max="1616" width="12.85546875" style="38" bestFit="1" customWidth="1"/>
    <col min="1617" max="1722" width="10" style="38"/>
    <col min="1723" max="1724" width="0" style="38" hidden="1" customWidth="1"/>
    <col min="1725" max="1725" width="1" style="38" customWidth="1"/>
    <col min="1726" max="1726" width="56" style="38" customWidth="1"/>
    <col min="1727" max="1728" width="1" style="38" customWidth="1"/>
    <col min="1729" max="1729" width="14.42578125" style="38" customWidth="1"/>
    <col min="1730" max="1731" width="1" style="38" customWidth="1"/>
    <col min="1732" max="1756" width="0" style="38" hidden="1" customWidth="1"/>
    <col min="1757" max="1757" width="1" style="38" customWidth="1"/>
    <col min="1758" max="1758" width="1.140625" style="38" customWidth="1"/>
    <col min="1759" max="1759" width="17.85546875" style="38" customWidth="1"/>
    <col min="1760" max="1761" width="1" style="38" customWidth="1"/>
    <col min="1762" max="1791" width="0" style="38" hidden="1" customWidth="1"/>
    <col min="1792" max="1793" width="1" style="38" customWidth="1"/>
    <col min="1794" max="1794" width="14.42578125" style="38" customWidth="1"/>
    <col min="1795" max="1798" width="1" style="38" customWidth="1"/>
    <col min="1799" max="1799" width="14.42578125" style="38" customWidth="1"/>
    <col min="1800" max="1801" width="1" style="38" customWidth="1"/>
    <col min="1802" max="1826" width="0" style="38" hidden="1" customWidth="1"/>
    <col min="1827" max="1828" width="1" style="38" customWidth="1"/>
    <col min="1829" max="1829" width="17.85546875" style="38" customWidth="1"/>
    <col min="1830" max="1831" width="1" style="38" customWidth="1"/>
    <col min="1832" max="1861" width="0" style="38" hidden="1" customWidth="1"/>
    <col min="1862" max="1863" width="1" style="38" customWidth="1"/>
    <col min="1864" max="1864" width="14.42578125" style="38" customWidth="1"/>
    <col min="1865" max="1866" width="1" style="38" customWidth="1"/>
    <col min="1867" max="1867" width="2" style="38" customWidth="1"/>
    <col min="1868" max="1868" width="3.85546875" style="38" customWidth="1"/>
    <col min="1869" max="1869" width="15.7109375" style="38" customWidth="1"/>
    <col min="1870" max="1870" width="12.85546875" style="38" bestFit="1" customWidth="1"/>
    <col min="1871" max="1871" width="13.85546875" style="38" customWidth="1"/>
    <col min="1872" max="1872" width="12.85546875" style="38" bestFit="1" customWidth="1"/>
    <col min="1873" max="1978" width="10" style="38"/>
    <col min="1979" max="1980" width="0" style="38" hidden="1" customWidth="1"/>
    <col min="1981" max="1981" width="1" style="38" customWidth="1"/>
    <col min="1982" max="1982" width="56" style="38" customWidth="1"/>
    <col min="1983" max="1984" width="1" style="38" customWidth="1"/>
    <col min="1985" max="1985" width="14.42578125" style="38" customWidth="1"/>
    <col min="1986" max="1987" width="1" style="38" customWidth="1"/>
    <col min="1988" max="2012" width="0" style="38" hidden="1" customWidth="1"/>
    <col min="2013" max="2013" width="1" style="38" customWidth="1"/>
    <col min="2014" max="2014" width="1.140625" style="38" customWidth="1"/>
    <col min="2015" max="2015" width="17.85546875" style="38" customWidth="1"/>
    <col min="2016" max="2017" width="1" style="38" customWidth="1"/>
    <col min="2018" max="2047" width="0" style="38" hidden="1" customWidth="1"/>
    <col min="2048" max="2049" width="1" style="38" customWidth="1"/>
    <col min="2050" max="2050" width="14.42578125" style="38" customWidth="1"/>
    <col min="2051" max="2054" width="1" style="38" customWidth="1"/>
    <col min="2055" max="2055" width="14.42578125" style="38" customWidth="1"/>
    <col min="2056" max="2057" width="1" style="38" customWidth="1"/>
    <col min="2058" max="2082" width="0" style="38" hidden="1" customWidth="1"/>
    <col min="2083" max="2084" width="1" style="38" customWidth="1"/>
    <col min="2085" max="2085" width="17.85546875" style="38" customWidth="1"/>
    <col min="2086" max="2087" width="1" style="38" customWidth="1"/>
    <col min="2088" max="2117" width="0" style="38" hidden="1" customWidth="1"/>
    <col min="2118" max="2119" width="1" style="38" customWidth="1"/>
    <col min="2120" max="2120" width="14.42578125" style="38" customWidth="1"/>
    <col min="2121" max="2122" width="1" style="38" customWidth="1"/>
    <col min="2123" max="2123" width="2" style="38" customWidth="1"/>
    <col min="2124" max="2124" width="3.85546875" style="38" customWidth="1"/>
    <col min="2125" max="2125" width="15.7109375" style="38" customWidth="1"/>
    <col min="2126" max="2126" width="12.85546875" style="38" bestFit="1" customWidth="1"/>
    <col min="2127" max="2127" width="13.85546875" style="38" customWidth="1"/>
    <col min="2128" max="2128" width="12.85546875" style="38" bestFit="1" customWidth="1"/>
    <col min="2129" max="2234" width="10" style="38"/>
    <col min="2235" max="2236" width="0" style="38" hidden="1" customWidth="1"/>
    <col min="2237" max="2237" width="1" style="38" customWidth="1"/>
    <col min="2238" max="2238" width="56" style="38" customWidth="1"/>
    <col min="2239" max="2240" width="1" style="38" customWidth="1"/>
    <col min="2241" max="2241" width="14.42578125" style="38" customWidth="1"/>
    <col min="2242" max="2243" width="1" style="38" customWidth="1"/>
    <col min="2244" max="2268" width="0" style="38" hidden="1" customWidth="1"/>
    <col min="2269" max="2269" width="1" style="38" customWidth="1"/>
    <col min="2270" max="2270" width="1.140625" style="38" customWidth="1"/>
    <col min="2271" max="2271" width="17.85546875" style="38" customWidth="1"/>
    <col min="2272" max="2273" width="1" style="38" customWidth="1"/>
    <col min="2274" max="2303" width="0" style="38" hidden="1" customWidth="1"/>
    <col min="2304" max="2305" width="1" style="38" customWidth="1"/>
    <col min="2306" max="2306" width="14.42578125" style="38" customWidth="1"/>
    <col min="2307" max="2310" width="1" style="38" customWidth="1"/>
    <col min="2311" max="2311" width="14.42578125" style="38" customWidth="1"/>
    <col min="2312" max="2313" width="1" style="38" customWidth="1"/>
    <col min="2314" max="2338" width="0" style="38" hidden="1" customWidth="1"/>
    <col min="2339" max="2340" width="1" style="38" customWidth="1"/>
    <col min="2341" max="2341" width="17.85546875" style="38" customWidth="1"/>
    <col min="2342" max="2343" width="1" style="38" customWidth="1"/>
    <col min="2344" max="2373" width="0" style="38" hidden="1" customWidth="1"/>
    <col min="2374" max="2375" width="1" style="38" customWidth="1"/>
    <col min="2376" max="2376" width="14.42578125" style="38" customWidth="1"/>
    <col min="2377" max="2378" width="1" style="38" customWidth="1"/>
    <col min="2379" max="2379" width="2" style="38" customWidth="1"/>
    <col min="2380" max="2380" width="3.85546875" style="38" customWidth="1"/>
    <col min="2381" max="2381" width="15.7109375" style="38" customWidth="1"/>
    <col min="2382" max="2382" width="12.85546875" style="38" bestFit="1" customWidth="1"/>
    <col min="2383" max="2383" width="13.85546875" style="38" customWidth="1"/>
    <col min="2384" max="2384" width="12.85546875" style="38" bestFit="1" customWidth="1"/>
    <col min="2385" max="2490" width="10" style="38"/>
    <col min="2491" max="2492" width="0" style="38" hidden="1" customWidth="1"/>
    <col min="2493" max="2493" width="1" style="38" customWidth="1"/>
    <col min="2494" max="2494" width="56" style="38" customWidth="1"/>
    <col min="2495" max="2496" width="1" style="38" customWidth="1"/>
    <col min="2497" max="2497" width="14.42578125" style="38" customWidth="1"/>
    <col min="2498" max="2499" width="1" style="38" customWidth="1"/>
    <col min="2500" max="2524" width="0" style="38" hidden="1" customWidth="1"/>
    <col min="2525" max="2525" width="1" style="38" customWidth="1"/>
    <col min="2526" max="2526" width="1.140625" style="38" customWidth="1"/>
    <col min="2527" max="2527" width="17.85546875" style="38" customWidth="1"/>
    <col min="2528" max="2529" width="1" style="38" customWidth="1"/>
    <col min="2530" max="2559" width="0" style="38" hidden="1" customWidth="1"/>
    <col min="2560" max="2561" width="1" style="38" customWidth="1"/>
    <col min="2562" max="2562" width="14.42578125" style="38" customWidth="1"/>
    <col min="2563" max="2566" width="1" style="38" customWidth="1"/>
    <col min="2567" max="2567" width="14.42578125" style="38" customWidth="1"/>
    <col min="2568" max="2569" width="1" style="38" customWidth="1"/>
    <col min="2570" max="2594" width="0" style="38" hidden="1" customWidth="1"/>
    <col min="2595" max="2596" width="1" style="38" customWidth="1"/>
    <col min="2597" max="2597" width="17.85546875" style="38" customWidth="1"/>
    <col min="2598" max="2599" width="1" style="38" customWidth="1"/>
    <col min="2600" max="2629" width="0" style="38" hidden="1" customWidth="1"/>
    <col min="2630" max="2631" width="1" style="38" customWidth="1"/>
    <col min="2632" max="2632" width="14.42578125" style="38" customWidth="1"/>
    <col min="2633" max="2634" width="1" style="38" customWidth="1"/>
    <col min="2635" max="2635" width="2" style="38" customWidth="1"/>
    <col min="2636" max="2636" width="3.85546875" style="38" customWidth="1"/>
    <col min="2637" max="2637" width="15.7109375" style="38" customWidth="1"/>
    <col min="2638" max="2638" width="12.85546875" style="38" bestFit="1" customWidth="1"/>
    <col min="2639" max="2639" width="13.85546875" style="38" customWidth="1"/>
    <col min="2640" max="2640" width="12.85546875" style="38" bestFit="1" customWidth="1"/>
    <col min="2641" max="2746" width="10" style="38"/>
    <col min="2747" max="2748" width="0" style="38" hidden="1" customWidth="1"/>
    <col min="2749" max="2749" width="1" style="38" customWidth="1"/>
    <col min="2750" max="2750" width="56" style="38" customWidth="1"/>
    <col min="2751" max="2752" width="1" style="38" customWidth="1"/>
    <col min="2753" max="2753" width="14.42578125" style="38" customWidth="1"/>
    <col min="2754" max="2755" width="1" style="38" customWidth="1"/>
    <col min="2756" max="2780" width="0" style="38" hidden="1" customWidth="1"/>
    <col min="2781" max="2781" width="1" style="38" customWidth="1"/>
    <col min="2782" max="2782" width="1.140625" style="38" customWidth="1"/>
    <col min="2783" max="2783" width="17.85546875" style="38" customWidth="1"/>
    <col min="2784" max="2785" width="1" style="38" customWidth="1"/>
    <col min="2786" max="2815" width="0" style="38" hidden="1" customWidth="1"/>
    <col min="2816" max="2817" width="1" style="38" customWidth="1"/>
    <col min="2818" max="2818" width="14.42578125" style="38" customWidth="1"/>
    <col min="2819" max="2822" width="1" style="38" customWidth="1"/>
    <col min="2823" max="2823" width="14.42578125" style="38" customWidth="1"/>
    <col min="2824" max="2825" width="1" style="38" customWidth="1"/>
    <col min="2826" max="2850" width="0" style="38" hidden="1" customWidth="1"/>
    <col min="2851" max="2852" width="1" style="38" customWidth="1"/>
    <col min="2853" max="2853" width="17.85546875" style="38" customWidth="1"/>
    <col min="2854" max="2855" width="1" style="38" customWidth="1"/>
    <col min="2856" max="2885" width="0" style="38" hidden="1" customWidth="1"/>
    <col min="2886" max="2887" width="1" style="38" customWidth="1"/>
    <col min="2888" max="2888" width="14.42578125" style="38" customWidth="1"/>
    <col min="2889" max="2890" width="1" style="38" customWidth="1"/>
    <col min="2891" max="2891" width="2" style="38" customWidth="1"/>
    <col min="2892" max="2892" width="3.85546875" style="38" customWidth="1"/>
    <col min="2893" max="2893" width="15.7109375" style="38" customWidth="1"/>
    <col min="2894" max="2894" width="12.85546875" style="38" bestFit="1" customWidth="1"/>
    <col min="2895" max="2895" width="13.85546875" style="38" customWidth="1"/>
    <col min="2896" max="2896" width="12.85546875" style="38" bestFit="1" customWidth="1"/>
    <col min="2897" max="3002" width="10" style="38"/>
    <col min="3003" max="3004" width="0" style="38" hidden="1" customWidth="1"/>
    <col min="3005" max="3005" width="1" style="38" customWidth="1"/>
    <col min="3006" max="3006" width="56" style="38" customWidth="1"/>
    <col min="3007" max="3008" width="1" style="38" customWidth="1"/>
    <col min="3009" max="3009" width="14.42578125" style="38" customWidth="1"/>
    <col min="3010" max="3011" width="1" style="38" customWidth="1"/>
    <col min="3012" max="3036" width="0" style="38" hidden="1" customWidth="1"/>
    <col min="3037" max="3037" width="1" style="38" customWidth="1"/>
    <col min="3038" max="3038" width="1.140625" style="38" customWidth="1"/>
    <col min="3039" max="3039" width="17.85546875" style="38" customWidth="1"/>
    <col min="3040" max="3041" width="1" style="38" customWidth="1"/>
    <col min="3042" max="3071" width="0" style="38" hidden="1" customWidth="1"/>
    <col min="3072" max="3073" width="1" style="38" customWidth="1"/>
    <col min="3074" max="3074" width="14.42578125" style="38" customWidth="1"/>
    <col min="3075" max="3078" width="1" style="38" customWidth="1"/>
    <col min="3079" max="3079" width="14.42578125" style="38" customWidth="1"/>
    <col min="3080" max="3081" width="1" style="38" customWidth="1"/>
    <col min="3082" max="3106" width="0" style="38" hidden="1" customWidth="1"/>
    <col min="3107" max="3108" width="1" style="38" customWidth="1"/>
    <col min="3109" max="3109" width="17.85546875" style="38" customWidth="1"/>
    <col min="3110" max="3111" width="1" style="38" customWidth="1"/>
    <col min="3112" max="3141" width="0" style="38" hidden="1" customWidth="1"/>
    <col min="3142" max="3143" width="1" style="38" customWidth="1"/>
    <col min="3144" max="3144" width="14.42578125" style="38" customWidth="1"/>
    <col min="3145" max="3146" width="1" style="38" customWidth="1"/>
    <col min="3147" max="3147" width="2" style="38" customWidth="1"/>
    <col min="3148" max="3148" width="3.85546875" style="38" customWidth="1"/>
    <col min="3149" max="3149" width="15.7109375" style="38" customWidth="1"/>
    <col min="3150" max="3150" width="12.85546875" style="38" bestFit="1" customWidth="1"/>
    <col min="3151" max="3151" width="13.85546875" style="38" customWidth="1"/>
    <col min="3152" max="3152" width="12.85546875" style="38" bestFit="1" customWidth="1"/>
    <col min="3153" max="3258" width="10" style="38"/>
    <col min="3259" max="3260" width="0" style="38" hidden="1" customWidth="1"/>
    <col min="3261" max="3261" width="1" style="38" customWidth="1"/>
    <col min="3262" max="3262" width="56" style="38" customWidth="1"/>
    <col min="3263" max="3264" width="1" style="38" customWidth="1"/>
    <col min="3265" max="3265" width="14.42578125" style="38" customWidth="1"/>
    <col min="3266" max="3267" width="1" style="38" customWidth="1"/>
    <col min="3268" max="3292" width="0" style="38" hidden="1" customWidth="1"/>
    <col min="3293" max="3293" width="1" style="38" customWidth="1"/>
    <col min="3294" max="3294" width="1.140625" style="38" customWidth="1"/>
    <col min="3295" max="3295" width="17.85546875" style="38" customWidth="1"/>
    <col min="3296" max="3297" width="1" style="38" customWidth="1"/>
    <col min="3298" max="3327" width="0" style="38" hidden="1" customWidth="1"/>
    <col min="3328" max="3329" width="1" style="38" customWidth="1"/>
    <col min="3330" max="3330" width="14.42578125" style="38" customWidth="1"/>
    <col min="3331" max="3334" width="1" style="38" customWidth="1"/>
    <col min="3335" max="3335" width="14.42578125" style="38" customWidth="1"/>
    <col min="3336" max="3337" width="1" style="38" customWidth="1"/>
    <col min="3338" max="3362" width="0" style="38" hidden="1" customWidth="1"/>
    <col min="3363" max="3364" width="1" style="38" customWidth="1"/>
    <col min="3365" max="3365" width="17.85546875" style="38" customWidth="1"/>
    <col min="3366" max="3367" width="1" style="38" customWidth="1"/>
    <col min="3368" max="3397" width="0" style="38" hidden="1" customWidth="1"/>
    <col min="3398" max="3399" width="1" style="38" customWidth="1"/>
    <col min="3400" max="3400" width="14.42578125" style="38" customWidth="1"/>
    <col min="3401" max="3402" width="1" style="38" customWidth="1"/>
    <col min="3403" max="3403" width="2" style="38" customWidth="1"/>
    <col min="3404" max="3404" width="3.85546875" style="38" customWidth="1"/>
    <col min="3405" max="3405" width="15.7109375" style="38" customWidth="1"/>
    <col min="3406" max="3406" width="12.85546875" style="38" bestFit="1" customWidth="1"/>
    <col min="3407" max="3407" width="13.85546875" style="38" customWidth="1"/>
    <col min="3408" max="3408" width="12.85546875" style="38" bestFit="1" customWidth="1"/>
    <col min="3409" max="3514" width="10" style="38"/>
    <col min="3515" max="3516" width="0" style="38" hidden="1" customWidth="1"/>
    <col min="3517" max="3517" width="1" style="38" customWidth="1"/>
    <col min="3518" max="3518" width="56" style="38" customWidth="1"/>
    <col min="3519" max="3520" width="1" style="38" customWidth="1"/>
    <col min="3521" max="3521" width="14.42578125" style="38" customWidth="1"/>
    <col min="3522" max="3523" width="1" style="38" customWidth="1"/>
    <col min="3524" max="3548" width="0" style="38" hidden="1" customWidth="1"/>
    <col min="3549" max="3549" width="1" style="38" customWidth="1"/>
    <col min="3550" max="3550" width="1.140625" style="38" customWidth="1"/>
    <col min="3551" max="3551" width="17.85546875" style="38" customWidth="1"/>
    <col min="3552" max="3553" width="1" style="38" customWidth="1"/>
    <col min="3554" max="3583" width="0" style="38" hidden="1" customWidth="1"/>
    <col min="3584" max="3585" width="1" style="38" customWidth="1"/>
    <col min="3586" max="3586" width="14.42578125" style="38" customWidth="1"/>
    <col min="3587" max="3590" width="1" style="38" customWidth="1"/>
    <col min="3591" max="3591" width="14.42578125" style="38" customWidth="1"/>
    <col min="3592" max="3593" width="1" style="38" customWidth="1"/>
    <col min="3594" max="3618" width="0" style="38" hidden="1" customWidth="1"/>
    <col min="3619" max="3620" width="1" style="38" customWidth="1"/>
    <col min="3621" max="3621" width="17.85546875" style="38" customWidth="1"/>
    <col min="3622" max="3623" width="1" style="38" customWidth="1"/>
    <col min="3624" max="3653" width="0" style="38" hidden="1" customWidth="1"/>
    <col min="3654" max="3655" width="1" style="38" customWidth="1"/>
    <col min="3656" max="3656" width="14.42578125" style="38" customWidth="1"/>
    <col min="3657" max="3658" width="1" style="38" customWidth="1"/>
    <col min="3659" max="3659" width="2" style="38" customWidth="1"/>
    <col min="3660" max="3660" width="3.85546875" style="38" customWidth="1"/>
    <col min="3661" max="3661" width="15.7109375" style="38" customWidth="1"/>
    <col min="3662" max="3662" width="12.85546875" style="38" bestFit="1" customWidth="1"/>
    <col min="3663" max="3663" width="13.85546875" style="38" customWidth="1"/>
    <col min="3664" max="3664" width="12.85546875" style="38" bestFit="1" customWidth="1"/>
    <col min="3665" max="3770" width="10" style="38"/>
    <col min="3771" max="3772" width="0" style="38" hidden="1" customWidth="1"/>
    <col min="3773" max="3773" width="1" style="38" customWidth="1"/>
    <col min="3774" max="3774" width="56" style="38" customWidth="1"/>
    <col min="3775" max="3776" width="1" style="38" customWidth="1"/>
    <col min="3777" max="3777" width="14.42578125" style="38" customWidth="1"/>
    <col min="3778" max="3779" width="1" style="38" customWidth="1"/>
    <col min="3780" max="3804" width="0" style="38" hidden="1" customWidth="1"/>
    <col min="3805" max="3805" width="1" style="38" customWidth="1"/>
    <col min="3806" max="3806" width="1.140625" style="38" customWidth="1"/>
    <col min="3807" max="3807" width="17.85546875" style="38" customWidth="1"/>
    <col min="3808" max="3809" width="1" style="38" customWidth="1"/>
    <col min="3810" max="3839" width="0" style="38" hidden="1" customWidth="1"/>
    <col min="3840" max="3841" width="1" style="38" customWidth="1"/>
    <col min="3842" max="3842" width="14.42578125" style="38" customWidth="1"/>
    <col min="3843" max="3846" width="1" style="38" customWidth="1"/>
    <col min="3847" max="3847" width="14.42578125" style="38" customWidth="1"/>
    <col min="3848" max="3849" width="1" style="38" customWidth="1"/>
    <col min="3850" max="3874" width="0" style="38" hidden="1" customWidth="1"/>
    <col min="3875" max="3876" width="1" style="38" customWidth="1"/>
    <col min="3877" max="3877" width="17.85546875" style="38" customWidth="1"/>
    <col min="3878" max="3879" width="1" style="38" customWidth="1"/>
    <col min="3880" max="3909" width="0" style="38" hidden="1" customWidth="1"/>
    <col min="3910" max="3911" width="1" style="38" customWidth="1"/>
    <col min="3912" max="3912" width="14.42578125" style="38" customWidth="1"/>
    <col min="3913" max="3914" width="1" style="38" customWidth="1"/>
    <col min="3915" max="3915" width="2" style="38" customWidth="1"/>
    <col min="3916" max="3916" width="3.85546875" style="38" customWidth="1"/>
    <col min="3917" max="3917" width="15.7109375" style="38" customWidth="1"/>
    <col min="3918" max="3918" width="12.85546875" style="38" bestFit="1" customWidth="1"/>
    <col min="3919" max="3919" width="13.85546875" style="38" customWidth="1"/>
    <col min="3920" max="3920" width="12.85546875" style="38" bestFit="1" customWidth="1"/>
    <col min="3921" max="4026" width="10" style="38"/>
    <col min="4027" max="4028" width="0" style="38" hidden="1" customWidth="1"/>
    <col min="4029" max="4029" width="1" style="38" customWidth="1"/>
    <col min="4030" max="4030" width="56" style="38" customWidth="1"/>
    <col min="4031" max="4032" width="1" style="38" customWidth="1"/>
    <col min="4033" max="4033" width="14.42578125" style="38" customWidth="1"/>
    <col min="4034" max="4035" width="1" style="38" customWidth="1"/>
    <col min="4036" max="4060" width="0" style="38" hidden="1" customWidth="1"/>
    <col min="4061" max="4061" width="1" style="38" customWidth="1"/>
    <col min="4062" max="4062" width="1.140625" style="38" customWidth="1"/>
    <col min="4063" max="4063" width="17.85546875" style="38" customWidth="1"/>
    <col min="4064" max="4065" width="1" style="38" customWidth="1"/>
    <col min="4066" max="4095" width="0" style="38" hidden="1" customWidth="1"/>
    <col min="4096" max="4097" width="1" style="38" customWidth="1"/>
    <col min="4098" max="4098" width="14.42578125" style="38" customWidth="1"/>
    <col min="4099" max="4102" width="1" style="38" customWidth="1"/>
    <col min="4103" max="4103" width="14.42578125" style="38" customWidth="1"/>
    <col min="4104" max="4105" width="1" style="38" customWidth="1"/>
    <col min="4106" max="4130" width="0" style="38" hidden="1" customWidth="1"/>
    <col min="4131" max="4132" width="1" style="38" customWidth="1"/>
    <col min="4133" max="4133" width="17.85546875" style="38" customWidth="1"/>
    <col min="4134" max="4135" width="1" style="38" customWidth="1"/>
    <col min="4136" max="4165" width="0" style="38" hidden="1" customWidth="1"/>
    <col min="4166" max="4167" width="1" style="38" customWidth="1"/>
    <col min="4168" max="4168" width="14.42578125" style="38" customWidth="1"/>
    <col min="4169" max="4170" width="1" style="38" customWidth="1"/>
    <col min="4171" max="4171" width="2" style="38" customWidth="1"/>
    <col min="4172" max="4172" width="3.85546875" style="38" customWidth="1"/>
    <col min="4173" max="4173" width="15.7109375" style="38" customWidth="1"/>
    <col min="4174" max="4174" width="12.85546875" style="38" bestFit="1" customWidth="1"/>
    <col min="4175" max="4175" width="13.85546875" style="38" customWidth="1"/>
    <col min="4176" max="4176" width="12.85546875" style="38" bestFit="1" customWidth="1"/>
    <col min="4177" max="4282" width="10" style="38"/>
    <col min="4283" max="4284" width="0" style="38" hidden="1" customWidth="1"/>
    <col min="4285" max="4285" width="1" style="38" customWidth="1"/>
    <col min="4286" max="4286" width="56" style="38" customWidth="1"/>
    <col min="4287" max="4288" width="1" style="38" customWidth="1"/>
    <col min="4289" max="4289" width="14.42578125" style="38" customWidth="1"/>
    <col min="4290" max="4291" width="1" style="38" customWidth="1"/>
    <col min="4292" max="4316" width="0" style="38" hidden="1" customWidth="1"/>
    <col min="4317" max="4317" width="1" style="38" customWidth="1"/>
    <col min="4318" max="4318" width="1.140625" style="38" customWidth="1"/>
    <col min="4319" max="4319" width="17.85546875" style="38" customWidth="1"/>
    <col min="4320" max="4321" width="1" style="38" customWidth="1"/>
    <col min="4322" max="4351" width="0" style="38" hidden="1" customWidth="1"/>
    <col min="4352" max="4353" width="1" style="38" customWidth="1"/>
    <col min="4354" max="4354" width="14.42578125" style="38" customWidth="1"/>
    <col min="4355" max="4358" width="1" style="38" customWidth="1"/>
    <col min="4359" max="4359" width="14.42578125" style="38" customWidth="1"/>
    <col min="4360" max="4361" width="1" style="38" customWidth="1"/>
    <col min="4362" max="4386" width="0" style="38" hidden="1" customWidth="1"/>
    <col min="4387" max="4388" width="1" style="38" customWidth="1"/>
    <col min="4389" max="4389" width="17.85546875" style="38" customWidth="1"/>
    <col min="4390" max="4391" width="1" style="38" customWidth="1"/>
    <col min="4392" max="4421" width="0" style="38" hidden="1" customWidth="1"/>
    <col min="4422" max="4423" width="1" style="38" customWidth="1"/>
    <col min="4424" max="4424" width="14.42578125" style="38" customWidth="1"/>
    <col min="4425" max="4426" width="1" style="38" customWidth="1"/>
    <col min="4427" max="4427" width="2" style="38" customWidth="1"/>
    <col min="4428" max="4428" width="3.85546875" style="38" customWidth="1"/>
    <col min="4429" max="4429" width="15.7109375" style="38" customWidth="1"/>
    <col min="4430" max="4430" width="12.85546875" style="38" bestFit="1" customWidth="1"/>
    <col min="4431" max="4431" width="13.85546875" style="38" customWidth="1"/>
    <col min="4432" max="4432" width="12.85546875" style="38" bestFit="1" customWidth="1"/>
    <col min="4433" max="4538" width="10" style="38"/>
    <col min="4539" max="4540" width="0" style="38" hidden="1" customWidth="1"/>
    <col min="4541" max="4541" width="1" style="38" customWidth="1"/>
    <col min="4542" max="4542" width="56" style="38" customWidth="1"/>
    <col min="4543" max="4544" width="1" style="38" customWidth="1"/>
    <col min="4545" max="4545" width="14.42578125" style="38" customWidth="1"/>
    <col min="4546" max="4547" width="1" style="38" customWidth="1"/>
    <col min="4548" max="4572" width="0" style="38" hidden="1" customWidth="1"/>
    <col min="4573" max="4573" width="1" style="38" customWidth="1"/>
    <col min="4574" max="4574" width="1.140625" style="38" customWidth="1"/>
    <col min="4575" max="4575" width="17.85546875" style="38" customWidth="1"/>
    <col min="4576" max="4577" width="1" style="38" customWidth="1"/>
    <col min="4578" max="4607" width="0" style="38" hidden="1" customWidth="1"/>
    <col min="4608" max="4609" width="1" style="38" customWidth="1"/>
    <col min="4610" max="4610" width="14.42578125" style="38" customWidth="1"/>
    <col min="4611" max="4614" width="1" style="38" customWidth="1"/>
    <col min="4615" max="4615" width="14.42578125" style="38" customWidth="1"/>
    <col min="4616" max="4617" width="1" style="38" customWidth="1"/>
    <col min="4618" max="4642" width="0" style="38" hidden="1" customWidth="1"/>
    <col min="4643" max="4644" width="1" style="38" customWidth="1"/>
    <col min="4645" max="4645" width="17.85546875" style="38" customWidth="1"/>
    <col min="4646" max="4647" width="1" style="38" customWidth="1"/>
    <col min="4648" max="4677" width="0" style="38" hidden="1" customWidth="1"/>
    <col min="4678" max="4679" width="1" style="38" customWidth="1"/>
    <col min="4680" max="4680" width="14.42578125" style="38" customWidth="1"/>
    <col min="4681" max="4682" width="1" style="38" customWidth="1"/>
    <col min="4683" max="4683" width="2" style="38" customWidth="1"/>
    <col min="4684" max="4684" width="3.85546875" style="38" customWidth="1"/>
    <col min="4685" max="4685" width="15.7109375" style="38" customWidth="1"/>
    <col min="4686" max="4686" width="12.85546875" style="38" bestFit="1" customWidth="1"/>
    <col min="4687" max="4687" width="13.85546875" style="38" customWidth="1"/>
    <col min="4688" max="4688" width="12.85546875" style="38" bestFit="1" customWidth="1"/>
    <col min="4689" max="4794" width="10" style="38"/>
    <col min="4795" max="4796" width="0" style="38" hidden="1" customWidth="1"/>
    <col min="4797" max="4797" width="1" style="38" customWidth="1"/>
    <col min="4798" max="4798" width="56" style="38" customWidth="1"/>
    <col min="4799" max="4800" width="1" style="38" customWidth="1"/>
    <col min="4801" max="4801" width="14.42578125" style="38" customWidth="1"/>
    <col min="4802" max="4803" width="1" style="38" customWidth="1"/>
    <col min="4804" max="4828" width="0" style="38" hidden="1" customWidth="1"/>
    <col min="4829" max="4829" width="1" style="38" customWidth="1"/>
    <col min="4830" max="4830" width="1.140625" style="38" customWidth="1"/>
    <col min="4831" max="4831" width="17.85546875" style="38" customWidth="1"/>
    <col min="4832" max="4833" width="1" style="38" customWidth="1"/>
    <col min="4834" max="4863" width="0" style="38" hidden="1" customWidth="1"/>
    <col min="4864" max="4865" width="1" style="38" customWidth="1"/>
    <col min="4866" max="4866" width="14.42578125" style="38" customWidth="1"/>
    <col min="4867" max="4870" width="1" style="38" customWidth="1"/>
    <col min="4871" max="4871" width="14.42578125" style="38" customWidth="1"/>
    <col min="4872" max="4873" width="1" style="38" customWidth="1"/>
    <col min="4874" max="4898" width="0" style="38" hidden="1" customWidth="1"/>
    <col min="4899" max="4900" width="1" style="38" customWidth="1"/>
    <col min="4901" max="4901" width="17.85546875" style="38" customWidth="1"/>
    <col min="4902" max="4903" width="1" style="38" customWidth="1"/>
    <col min="4904" max="4933" width="0" style="38" hidden="1" customWidth="1"/>
    <col min="4934" max="4935" width="1" style="38" customWidth="1"/>
    <col min="4936" max="4936" width="14.42578125" style="38" customWidth="1"/>
    <col min="4937" max="4938" width="1" style="38" customWidth="1"/>
    <col min="4939" max="4939" width="2" style="38" customWidth="1"/>
    <col min="4940" max="4940" width="3.85546875" style="38" customWidth="1"/>
    <col min="4941" max="4941" width="15.7109375" style="38" customWidth="1"/>
    <col min="4942" max="4942" width="12.85546875" style="38" bestFit="1" customWidth="1"/>
    <col min="4943" max="4943" width="13.85546875" style="38" customWidth="1"/>
    <col min="4944" max="4944" width="12.85546875" style="38" bestFit="1" customWidth="1"/>
    <col min="4945" max="5050" width="10" style="38"/>
    <col min="5051" max="5052" width="0" style="38" hidden="1" customWidth="1"/>
    <col min="5053" max="5053" width="1" style="38" customWidth="1"/>
    <col min="5054" max="5054" width="56" style="38" customWidth="1"/>
    <col min="5055" max="5056" width="1" style="38" customWidth="1"/>
    <col min="5057" max="5057" width="14.42578125" style="38" customWidth="1"/>
    <col min="5058" max="5059" width="1" style="38" customWidth="1"/>
    <col min="5060" max="5084" width="0" style="38" hidden="1" customWidth="1"/>
    <col min="5085" max="5085" width="1" style="38" customWidth="1"/>
    <col min="5086" max="5086" width="1.140625" style="38" customWidth="1"/>
    <col min="5087" max="5087" width="17.85546875" style="38" customWidth="1"/>
    <col min="5088" max="5089" width="1" style="38" customWidth="1"/>
    <col min="5090" max="5119" width="0" style="38" hidden="1" customWidth="1"/>
    <col min="5120" max="5121" width="1" style="38" customWidth="1"/>
    <col min="5122" max="5122" width="14.42578125" style="38" customWidth="1"/>
    <col min="5123" max="5126" width="1" style="38" customWidth="1"/>
    <col min="5127" max="5127" width="14.42578125" style="38" customWidth="1"/>
    <col min="5128" max="5129" width="1" style="38" customWidth="1"/>
    <col min="5130" max="5154" width="0" style="38" hidden="1" customWidth="1"/>
    <col min="5155" max="5156" width="1" style="38" customWidth="1"/>
    <col min="5157" max="5157" width="17.85546875" style="38" customWidth="1"/>
    <col min="5158" max="5159" width="1" style="38" customWidth="1"/>
    <col min="5160" max="5189" width="0" style="38" hidden="1" customWidth="1"/>
    <col min="5190" max="5191" width="1" style="38" customWidth="1"/>
    <col min="5192" max="5192" width="14.42578125" style="38" customWidth="1"/>
    <col min="5193" max="5194" width="1" style="38" customWidth="1"/>
    <col min="5195" max="5195" width="2" style="38" customWidth="1"/>
    <col min="5196" max="5196" width="3.85546875" style="38" customWidth="1"/>
    <col min="5197" max="5197" width="15.7109375" style="38" customWidth="1"/>
    <col min="5198" max="5198" width="12.85546875" style="38" bestFit="1" customWidth="1"/>
    <col min="5199" max="5199" width="13.85546875" style="38" customWidth="1"/>
    <col min="5200" max="5200" width="12.85546875" style="38" bestFit="1" customWidth="1"/>
    <col min="5201" max="5306" width="10" style="38"/>
    <col min="5307" max="5308" width="0" style="38" hidden="1" customWidth="1"/>
    <col min="5309" max="5309" width="1" style="38" customWidth="1"/>
    <col min="5310" max="5310" width="56" style="38" customWidth="1"/>
    <col min="5311" max="5312" width="1" style="38" customWidth="1"/>
    <col min="5313" max="5313" width="14.42578125" style="38" customWidth="1"/>
    <col min="5314" max="5315" width="1" style="38" customWidth="1"/>
    <col min="5316" max="5340" width="0" style="38" hidden="1" customWidth="1"/>
    <col min="5341" max="5341" width="1" style="38" customWidth="1"/>
    <col min="5342" max="5342" width="1.140625" style="38" customWidth="1"/>
    <col min="5343" max="5343" width="17.85546875" style="38" customWidth="1"/>
    <col min="5344" max="5345" width="1" style="38" customWidth="1"/>
    <col min="5346" max="5375" width="0" style="38" hidden="1" customWidth="1"/>
    <col min="5376" max="5377" width="1" style="38" customWidth="1"/>
    <col min="5378" max="5378" width="14.42578125" style="38" customWidth="1"/>
    <col min="5379" max="5382" width="1" style="38" customWidth="1"/>
    <col min="5383" max="5383" width="14.42578125" style="38" customWidth="1"/>
    <col min="5384" max="5385" width="1" style="38" customWidth="1"/>
    <col min="5386" max="5410" width="0" style="38" hidden="1" customWidth="1"/>
    <col min="5411" max="5412" width="1" style="38" customWidth="1"/>
    <col min="5413" max="5413" width="17.85546875" style="38" customWidth="1"/>
    <col min="5414" max="5415" width="1" style="38" customWidth="1"/>
    <col min="5416" max="5445" width="0" style="38" hidden="1" customWidth="1"/>
    <col min="5446" max="5447" width="1" style="38" customWidth="1"/>
    <col min="5448" max="5448" width="14.42578125" style="38" customWidth="1"/>
    <col min="5449" max="5450" width="1" style="38" customWidth="1"/>
    <col min="5451" max="5451" width="2" style="38" customWidth="1"/>
    <col min="5452" max="5452" width="3.85546875" style="38" customWidth="1"/>
    <col min="5453" max="5453" width="15.7109375" style="38" customWidth="1"/>
    <col min="5454" max="5454" width="12.85546875" style="38" bestFit="1" customWidth="1"/>
    <col min="5455" max="5455" width="13.85546875" style="38" customWidth="1"/>
    <col min="5456" max="5456" width="12.85546875" style="38" bestFit="1" customWidth="1"/>
    <col min="5457" max="5562" width="10" style="38"/>
    <col min="5563" max="5564" width="0" style="38" hidden="1" customWidth="1"/>
    <col min="5565" max="5565" width="1" style="38" customWidth="1"/>
    <col min="5566" max="5566" width="56" style="38" customWidth="1"/>
    <col min="5567" max="5568" width="1" style="38" customWidth="1"/>
    <col min="5569" max="5569" width="14.42578125" style="38" customWidth="1"/>
    <col min="5570" max="5571" width="1" style="38" customWidth="1"/>
    <col min="5572" max="5596" width="0" style="38" hidden="1" customWidth="1"/>
    <col min="5597" max="5597" width="1" style="38" customWidth="1"/>
    <col min="5598" max="5598" width="1.140625" style="38" customWidth="1"/>
    <col min="5599" max="5599" width="17.85546875" style="38" customWidth="1"/>
    <col min="5600" max="5601" width="1" style="38" customWidth="1"/>
    <col min="5602" max="5631" width="0" style="38" hidden="1" customWidth="1"/>
    <col min="5632" max="5633" width="1" style="38" customWidth="1"/>
    <col min="5634" max="5634" width="14.42578125" style="38" customWidth="1"/>
    <col min="5635" max="5638" width="1" style="38" customWidth="1"/>
    <col min="5639" max="5639" width="14.42578125" style="38" customWidth="1"/>
    <col min="5640" max="5641" width="1" style="38" customWidth="1"/>
    <col min="5642" max="5666" width="0" style="38" hidden="1" customWidth="1"/>
    <col min="5667" max="5668" width="1" style="38" customWidth="1"/>
    <col min="5669" max="5669" width="17.85546875" style="38" customWidth="1"/>
    <col min="5670" max="5671" width="1" style="38" customWidth="1"/>
    <col min="5672" max="5701" width="0" style="38" hidden="1" customWidth="1"/>
    <col min="5702" max="5703" width="1" style="38" customWidth="1"/>
    <col min="5704" max="5704" width="14.42578125" style="38" customWidth="1"/>
    <col min="5705" max="5706" width="1" style="38" customWidth="1"/>
    <col min="5707" max="5707" width="2" style="38" customWidth="1"/>
    <col min="5708" max="5708" width="3.85546875" style="38" customWidth="1"/>
    <col min="5709" max="5709" width="15.7109375" style="38" customWidth="1"/>
    <col min="5710" max="5710" width="12.85546875" style="38" bestFit="1" customWidth="1"/>
    <col min="5711" max="5711" width="13.85546875" style="38" customWidth="1"/>
    <col min="5712" max="5712" width="12.85546875" style="38" bestFit="1" customWidth="1"/>
    <col min="5713" max="5818" width="10" style="38"/>
    <col min="5819" max="5820" width="0" style="38" hidden="1" customWidth="1"/>
    <col min="5821" max="5821" width="1" style="38" customWidth="1"/>
    <col min="5822" max="5822" width="56" style="38" customWidth="1"/>
    <col min="5823" max="5824" width="1" style="38" customWidth="1"/>
    <col min="5825" max="5825" width="14.42578125" style="38" customWidth="1"/>
    <col min="5826" max="5827" width="1" style="38" customWidth="1"/>
    <col min="5828" max="5852" width="0" style="38" hidden="1" customWidth="1"/>
    <col min="5853" max="5853" width="1" style="38" customWidth="1"/>
    <col min="5854" max="5854" width="1.140625" style="38" customWidth="1"/>
    <col min="5855" max="5855" width="17.85546875" style="38" customWidth="1"/>
    <col min="5856" max="5857" width="1" style="38" customWidth="1"/>
    <col min="5858" max="5887" width="0" style="38" hidden="1" customWidth="1"/>
    <col min="5888" max="5889" width="1" style="38" customWidth="1"/>
    <col min="5890" max="5890" width="14.42578125" style="38" customWidth="1"/>
    <col min="5891" max="5894" width="1" style="38" customWidth="1"/>
    <col min="5895" max="5895" width="14.42578125" style="38" customWidth="1"/>
    <col min="5896" max="5897" width="1" style="38" customWidth="1"/>
    <col min="5898" max="5922" width="0" style="38" hidden="1" customWidth="1"/>
    <col min="5923" max="5924" width="1" style="38" customWidth="1"/>
    <col min="5925" max="5925" width="17.85546875" style="38" customWidth="1"/>
    <col min="5926" max="5927" width="1" style="38" customWidth="1"/>
    <col min="5928" max="5957" width="0" style="38" hidden="1" customWidth="1"/>
    <col min="5958" max="5959" width="1" style="38" customWidth="1"/>
    <col min="5960" max="5960" width="14.42578125" style="38" customWidth="1"/>
    <col min="5961" max="5962" width="1" style="38" customWidth="1"/>
    <col min="5963" max="5963" width="2" style="38" customWidth="1"/>
    <col min="5964" max="5964" width="3.85546875" style="38" customWidth="1"/>
    <col min="5965" max="5965" width="15.7109375" style="38" customWidth="1"/>
    <col min="5966" max="5966" width="12.85546875" style="38" bestFit="1" customWidth="1"/>
    <col min="5967" max="5967" width="13.85546875" style="38" customWidth="1"/>
    <col min="5968" max="5968" width="12.85546875" style="38" bestFit="1" customWidth="1"/>
    <col min="5969" max="6074" width="10" style="38"/>
    <col min="6075" max="6076" width="0" style="38" hidden="1" customWidth="1"/>
    <col min="6077" max="6077" width="1" style="38" customWidth="1"/>
    <col min="6078" max="6078" width="56" style="38" customWidth="1"/>
    <col min="6079" max="6080" width="1" style="38" customWidth="1"/>
    <col min="6081" max="6081" width="14.42578125" style="38" customWidth="1"/>
    <col min="6082" max="6083" width="1" style="38" customWidth="1"/>
    <col min="6084" max="6108" width="0" style="38" hidden="1" customWidth="1"/>
    <col min="6109" max="6109" width="1" style="38" customWidth="1"/>
    <col min="6110" max="6110" width="1.140625" style="38" customWidth="1"/>
    <col min="6111" max="6111" width="17.85546875" style="38" customWidth="1"/>
    <col min="6112" max="6113" width="1" style="38" customWidth="1"/>
    <col min="6114" max="6143" width="0" style="38" hidden="1" customWidth="1"/>
    <col min="6144" max="6145" width="1" style="38" customWidth="1"/>
    <col min="6146" max="6146" width="14.42578125" style="38" customWidth="1"/>
    <col min="6147" max="6150" width="1" style="38" customWidth="1"/>
    <col min="6151" max="6151" width="14.42578125" style="38" customWidth="1"/>
    <col min="6152" max="6153" width="1" style="38" customWidth="1"/>
    <col min="6154" max="6178" width="0" style="38" hidden="1" customWidth="1"/>
    <col min="6179" max="6180" width="1" style="38" customWidth="1"/>
    <col min="6181" max="6181" width="17.85546875" style="38" customWidth="1"/>
    <col min="6182" max="6183" width="1" style="38" customWidth="1"/>
    <col min="6184" max="6213" width="0" style="38" hidden="1" customWidth="1"/>
    <col min="6214" max="6215" width="1" style="38" customWidth="1"/>
    <col min="6216" max="6216" width="14.42578125" style="38" customWidth="1"/>
    <col min="6217" max="6218" width="1" style="38" customWidth="1"/>
    <col min="6219" max="6219" width="2" style="38" customWidth="1"/>
    <col min="6220" max="6220" width="3.85546875" style="38" customWidth="1"/>
    <col min="6221" max="6221" width="15.7109375" style="38" customWidth="1"/>
    <col min="6222" max="6222" width="12.85546875" style="38" bestFit="1" customWidth="1"/>
    <col min="6223" max="6223" width="13.85546875" style="38" customWidth="1"/>
    <col min="6224" max="6224" width="12.85546875" style="38" bestFit="1" customWidth="1"/>
    <col min="6225" max="6330" width="10" style="38"/>
    <col min="6331" max="6332" width="0" style="38" hidden="1" customWidth="1"/>
    <col min="6333" max="6333" width="1" style="38" customWidth="1"/>
    <col min="6334" max="6334" width="56" style="38" customWidth="1"/>
    <col min="6335" max="6336" width="1" style="38" customWidth="1"/>
    <col min="6337" max="6337" width="14.42578125" style="38" customWidth="1"/>
    <col min="6338" max="6339" width="1" style="38" customWidth="1"/>
    <col min="6340" max="6364" width="0" style="38" hidden="1" customWidth="1"/>
    <col min="6365" max="6365" width="1" style="38" customWidth="1"/>
    <col min="6366" max="6366" width="1.140625" style="38" customWidth="1"/>
    <col min="6367" max="6367" width="17.85546875" style="38" customWidth="1"/>
    <col min="6368" max="6369" width="1" style="38" customWidth="1"/>
    <col min="6370" max="6399" width="0" style="38" hidden="1" customWidth="1"/>
    <col min="6400" max="6401" width="1" style="38" customWidth="1"/>
    <col min="6402" max="6402" width="14.42578125" style="38" customWidth="1"/>
    <col min="6403" max="6406" width="1" style="38" customWidth="1"/>
    <col min="6407" max="6407" width="14.42578125" style="38" customWidth="1"/>
    <col min="6408" max="6409" width="1" style="38" customWidth="1"/>
    <col min="6410" max="6434" width="0" style="38" hidden="1" customWidth="1"/>
    <col min="6435" max="6436" width="1" style="38" customWidth="1"/>
    <col min="6437" max="6437" width="17.85546875" style="38" customWidth="1"/>
    <col min="6438" max="6439" width="1" style="38" customWidth="1"/>
    <col min="6440" max="6469" width="0" style="38" hidden="1" customWidth="1"/>
    <col min="6470" max="6471" width="1" style="38" customWidth="1"/>
    <col min="6472" max="6472" width="14.42578125" style="38" customWidth="1"/>
    <col min="6473" max="6474" width="1" style="38" customWidth="1"/>
    <col min="6475" max="6475" width="2" style="38" customWidth="1"/>
    <col min="6476" max="6476" width="3.85546875" style="38" customWidth="1"/>
    <col min="6477" max="6477" width="15.7109375" style="38" customWidth="1"/>
    <col min="6478" max="6478" width="12.85546875" style="38" bestFit="1" customWidth="1"/>
    <col min="6479" max="6479" width="13.85546875" style="38" customWidth="1"/>
    <col min="6480" max="6480" width="12.85546875" style="38" bestFit="1" customWidth="1"/>
    <col min="6481" max="6586" width="10" style="38"/>
    <col min="6587" max="6588" width="0" style="38" hidden="1" customWidth="1"/>
    <col min="6589" max="6589" width="1" style="38" customWidth="1"/>
    <col min="6590" max="6590" width="56" style="38" customWidth="1"/>
    <col min="6591" max="6592" width="1" style="38" customWidth="1"/>
    <col min="6593" max="6593" width="14.42578125" style="38" customWidth="1"/>
    <col min="6594" max="6595" width="1" style="38" customWidth="1"/>
    <col min="6596" max="6620" width="0" style="38" hidden="1" customWidth="1"/>
    <col min="6621" max="6621" width="1" style="38" customWidth="1"/>
    <col min="6622" max="6622" width="1.140625" style="38" customWidth="1"/>
    <col min="6623" max="6623" width="17.85546875" style="38" customWidth="1"/>
    <col min="6624" max="6625" width="1" style="38" customWidth="1"/>
    <col min="6626" max="6655" width="0" style="38" hidden="1" customWidth="1"/>
    <col min="6656" max="6657" width="1" style="38" customWidth="1"/>
    <col min="6658" max="6658" width="14.42578125" style="38" customWidth="1"/>
    <col min="6659" max="6662" width="1" style="38" customWidth="1"/>
    <col min="6663" max="6663" width="14.42578125" style="38" customWidth="1"/>
    <col min="6664" max="6665" width="1" style="38" customWidth="1"/>
    <col min="6666" max="6690" width="0" style="38" hidden="1" customWidth="1"/>
    <col min="6691" max="6692" width="1" style="38" customWidth="1"/>
    <col min="6693" max="6693" width="17.85546875" style="38" customWidth="1"/>
    <col min="6694" max="6695" width="1" style="38" customWidth="1"/>
    <col min="6696" max="6725" width="0" style="38" hidden="1" customWidth="1"/>
    <col min="6726" max="6727" width="1" style="38" customWidth="1"/>
    <col min="6728" max="6728" width="14.42578125" style="38" customWidth="1"/>
    <col min="6729" max="6730" width="1" style="38" customWidth="1"/>
    <col min="6731" max="6731" width="2" style="38" customWidth="1"/>
    <col min="6732" max="6732" width="3.85546875" style="38" customWidth="1"/>
    <col min="6733" max="6733" width="15.7109375" style="38" customWidth="1"/>
    <col min="6734" max="6734" width="12.85546875" style="38" bestFit="1" customWidth="1"/>
    <col min="6735" max="6735" width="13.85546875" style="38" customWidth="1"/>
    <col min="6736" max="6736" width="12.85546875" style="38" bestFit="1" customWidth="1"/>
    <col min="6737" max="6842" width="10" style="38"/>
    <col min="6843" max="6844" width="0" style="38" hidden="1" customWidth="1"/>
    <col min="6845" max="6845" width="1" style="38" customWidth="1"/>
    <col min="6846" max="6846" width="56" style="38" customWidth="1"/>
    <col min="6847" max="6848" width="1" style="38" customWidth="1"/>
    <col min="6849" max="6849" width="14.42578125" style="38" customWidth="1"/>
    <col min="6850" max="6851" width="1" style="38" customWidth="1"/>
    <col min="6852" max="6876" width="0" style="38" hidden="1" customWidth="1"/>
    <col min="6877" max="6877" width="1" style="38" customWidth="1"/>
    <col min="6878" max="6878" width="1.140625" style="38" customWidth="1"/>
    <col min="6879" max="6879" width="17.85546875" style="38" customWidth="1"/>
    <col min="6880" max="6881" width="1" style="38" customWidth="1"/>
    <col min="6882" max="6911" width="0" style="38" hidden="1" customWidth="1"/>
    <col min="6912" max="6913" width="1" style="38" customWidth="1"/>
    <col min="6914" max="6914" width="14.42578125" style="38" customWidth="1"/>
    <col min="6915" max="6918" width="1" style="38" customWidth="1"/>
    <col min="6919" max="6919" width="14.42578125" style="38" customWidth="1"/>
    <col min="6920" max="6921" width="1" style="38" customWidth="1"/>
    <col min="6922" max="6946" width="0" style="38" hidden="1" customWidth="1"/>
    <col min="6947" max="6948" width="1" style="38" customWidth="1"/>
    <col min="6949" max="6949" width="17.85546875" style="38" customWidth="1"/>
    <col min="6950" max="6951" width="1" style="38" customWidth="1"/>
    <col min="6952" max="6981" width="0" style="38" hidden="1" customWidth="1"/>
    <col min="6982" max="6983" width="1" style="38" customWidth="1"/>
    <col min="6984" max="6984" width="14.42578125" style="38" customWidth="1"/>
    <col min="6985" max="6986" width="1" style="38" customWidth="1"/>
    <col min="6987" max="6987" width="2" style="38" customWidth="1"/>
    <col min="6988" max="6988" width="3.85546875" style="38" customWidth="1"/>
    <col min="6989" max="6989" width="15.7109375" style="38" customWidth="1"/>
    <col min="6990" max="6990" width="12.85546875" style="38" bestFit="1" customWidth="1"/>
    <col min="6991" max="6991" width="13.85546875" style="38" customWidth="1"/>
    <col min="6992" max="6992" width="12.85546875" style="38" bestFit="1" customWidth="1"/>
    <col min="6993" max="7098" width="10" style="38"/>
    <col min="7099" max="7100" width="0" style="38" hidden="1" customWidth="1"/>
    <col min="7101" max="7101" width="1" style="38" customWidth="1"/>
    <col min="7102" max="7102" width="56" style="38" customWidth="1"/>
    <col min="7103" max="7104" width="1" style="38" customWidth="1"/>
    <col min="7105" max="7105" width="14.42578125" style="38" customWidth="1"/>
    <col min="7106" max="7107" width="1" style="38" customWidth="1"/>
    <col min="7108" max="7132" width="0" style="38" hidden="1" customWidth="1"/>
    <col min="7133" max="7133" width="1" style="38" customWidth="1"/>
    <col min="7134" max="7134" width="1.140625" style="38" customWidth="1"/>
    <col min="7135" max="7135" width="17.85546875" style="38" customWidth="1"/>
    <col min="7136" max="7137" width="1" style="38" customWidth="1"/>
    <col min="7138" max="7167" width="0" style="38" hidden="1" customWidth="1"/>
    <col min="7168" max="7169" width="1" style="38" customWidth="1"/>
    <col min="7170" max="7170" width="14.42578125" style="38" customWidth="1"/>
    <col min="7171" max="7174" width="1" style="38" customWidth="1"/>
    <col min="7175" max="7175" width="14.42578125" style="38" customWidth="1"/>
    <col min="7176" max="7177" width="1" style="38" customWidth="1"/>
    <col min="7178" max="7202" width="0" style="38" hidden="1" customWidth="1"/>
    <col min="7203" max="7204" width="1" style="38" customWidth="1"/>
    <col min="7205" max="7205" width="17.85546875" style="38" customWidth="1"/>
    <col min="7206" max="7207" width="1" style="38" customWidth="1"/>
    <col min="7208" max="7237" width="0" style="38" hidden="1" customWidth="1"/>
    <col min="7238" max="7239" width="1" style="38" customWidth="1"/>
    <col min="7240" max="7240" width="14.42578125" style="38" customWidth="1"/>
    <col min="7241" max="7242" width="1" style="38" customWidth="1"/>
    <col min="7243" max="7243" width="2" style="38" customWidth="1"/>
    <col min="7244" max="7244" width="3.85546875" style="38" customWidth="1"/>
    <col min="7245" max="7245" width="15.7109375" style="38" customWidth="1"/>
    <col min="7246" max="7246" width="12.85546875" style="38" bestFit="1" customWidth="1"/>
    <col min="7247" max="7247" width="13.85546875" style="38" customWidth="1"/>
    <col min="7248" max="7248" width="12.85546875" style="38" bestFit="1" customWidth="1"/>
    <col min="7249" max="7354" width="10" style="38"/>
    <col min="7355" max="7356" width="0" style="38" hidden="1" customWidth="1"/>
    <col min="7357" max="7357" width="1" style="38" customWidth="1"/>
    <col min="7358" max="7358" width="56" style="38" customWidth="1"/>
    <col min="7359" max="7360" width="1" style="38" customWidth="1"/>
    <col min="7361" max="7361" width="14.42578125" style="38" customWidth="1"/>
    <col min="7362" max="7363" width="1" style="38" customWidth="1"/>
    <col min="7364" max="7388" width="0" style="38" hidden="1" customWidth="1"/>
    <col min="7389" max="7389" width="1" style="38" customWidth="1"/>
    <col min="7390" max="7390" width="1.140625" style="38" customWidth="1"/>
    <col min="7391" max="7391" width="17.85546875" style="38" customWidth="1"/>
    <col min="7392" max="7393" width="1" style="38" customWidth="1"/>
    <col min="7394" max="7423" width="0" style="38" hidden="1" customWidth="1"/>
    <col min="7424" max="7425" width="1" style="38" customWidth="1"/>
    <col min="7426" max="7426" width="14.42578125" style="38" customWidth="1"/>
    <col min="7427" max="7430" width="1" style="38" customWidth="1"/>
    <col min="7431" max="7431" width="14.42578125" style="38" customWidth="1"/>
    <col min="7432" max="7433" width="1" style="38" customWidth="1"/>
    <col min="7434" max="7458" width="0" style="38" hidden="1" customWidth="1"/>
    <col min="7459" max="7460" width="1" style="38" customWidth="1"/>
    <col min="7461" max="7461" width="17.85546875" style="38" customWidth="1"/>
    <col min="7462" max="7463" width="1" style="38" customWidth="1"/>
    <col min="7464" max="7493" width="0" style="38" hidden="1" customWidth="1"/>
    <col min="7494" max="7495" width="1" style="38" customWidth="1"/>
    <col min="7496" max="7496" width="14.42578125" style="38" customWidth="1"/>
    <col min="7497" max="7498" width="1" style="38" customWidth="1"/>
    <col min="7499" max="7499" width="2" style="38" customWidth="1"/>
    <col min="7500" max="7500" width="3.85546875" style="38" customWidth="1"/>
    <col min="7501" max="7501" width="15.7109375" style="38" customWidth="1"/>
    <col min="7502" max="7502" width="12.85546875" style="38" bestFit="1" customWidth="1"/>
    <col min="7503" max="7503" width="13.85546875" style="38" customWidth="1"/>
    <col min="7504" max="7504" width="12.85546875" style="38" bestFit="1" customWidth="1"/>
    <col min="7505" max="7610" width="10" style="38"/>
    <col min="7611" max="7612" width="0" style="38" hidden="1" customWidth="1"/>
    <col min="7613" max="7613" width="1" style="38" customWidth="1"/>
    <col min="7614" max="7614" width="56" style="38" customWidth="1"/>
    <col min="7615" max="7616" width="1" style="38" customWidth="1"/>
    <col min="7617" max="7617" width="14.42578125" style="38" customWidth="1"/>
    <col min="7618" max="7619" width="1" style="38" customWidth="1"/>
    <col min="7620" max="7644" width="0" style="38" hidden="1" customWidth="1"/>
    <col min="7645" max="7645" width="1" style="38" customWidth="1"/>
    <col min="7646" max="7646" width="1.140625" style="38" customWidth="1"/>
    <col min="7647" max="7647" width="17.85546875" style="38" customWidth="1"/>
    <col min="7648" max="7649" width="1" style="38" customWidth="1"/>
    <col min="7650" max="7679" width="0" style="38" hidden="1" customWidth="1"/>
    <col min="7680" max="7681" width="1" style="38" customWidth="1"/>
    <col min="7682" max="7682" width="14.42578125" style="38" customWidth="1"/>
    <col min="7683" max="7686" width="1" style="38" customWidth="1"/>
    <col min="7687" max="7687" width="14.42578125" style="38" customWidth="1"/>
    <col min="7688" max="7689" width="1" style="38" customWidth="1"/>
    <col min="7690" max="7714" width="0" style="38" hidden="1" customWidth="1"/>
    <col min="7715" max="7716" width="1" style="38" customWidth="1"/>
    <col min="7717" max="7717" width="17.85546875" style="38" customWidth="1"/>
    <col min="7718" max="7719" width="1" style="38" customWidth="1"/>
    <col min="7720" max="7749" width="0" style="38" hidden="1" customWidth="1"/>
    <col min="7750" max="7751" width="1" style="38" customWidth="1"/>
    <col min="7752" max="7752" width="14.42578125" style="38" customWidth="1"/>
    <col min="7753" max="7754" width="1" style="38" customWidth="1"/>
    <col min="7755" max="7755" width="2" style="38" customWidth="1"/>
    <col min="7756" max="7756" width="3.85546875" style="38" customWidth="1"/>
    <col min="7757" max="7757" width="15.7109375" style="38" customWidth="1"/>
    <col min="7758" max="7758" width="12.85546875" style="38" bestFit="1" customWidth="1"/>
    <col min="7759" max="7759" width="13.85546875" style="38" customWidth="1"/>
    <col min="7760" max="7760" width="12.85546875" style="38" bestFit="1" customWidth="1"/>
    <col min="7761" max="7866" width="10" style="38"/>
    <col min="7867" max="7868" width="0" style="38" hidden="1" customWidth="1"/>
    <col min="7869" max="7869" width="1" style="38" customWidth="1"/>
    <col min="7870" max="7870" width="56" style="38" customWidth="1"/>
    <col min="7871" max="7872" width="1" style="38" customWidth="1"/>
    <col min="7873" max="7873" width="14.42578125" style="38" customWidth="1"/>
    <col min="7874" max="7875" width="1" style="38" customWidth="1"/>
    <col min="7876" max="7900" width="0" style="38" hidden="1" customWidth="1"/>
    <col min="7901" max="7901" width="1" style="38" customWidth="1"/>
    <col min="7902" max="7902" width="1.140625" style="38" customWidth="1"/>
    <col min="7903" max="7903" width="17.85546875" style="38" customWidth="1"/>
    <col min="7904" max="7905" width="1" style="38" customWidth="1"/>
    <col min="7906" max="7935" width="0" style="38" hidden="1" customWidth="1"/>
    <col min="7936" max="7937" width="1" style="38" customWidth="1"/>
    <col min="7938" max="7938" width="14.42578125" style="38" customWidth="1"/>
    <col min="7939" max="7942" width="1" style="38" customWidth="1"/>
    <col min="7943" max="7943" width="14.42578125" style="38" customWidth="1"/>
    <col min="7944" max="7945" width="1" style="38" customWidth="1"/>
    <col min="7946" max="7970" width="0" style="38" hidden="1" customWidth="1"/>
    <col min="7971" max="7972" width="1" style="38" customWidth="1"/>
    <col min="7973" max="7973" width="17.85546875" style="38" customWidth="1"/>
    <col min="7974" max="7975" width="1" style="38" customWidth="1"/>
    <col min="7976" max="8005" width="0" style="38" hidden="1" customWidth="1"/>
    <col min="8006" max="8007" width="1" style="38" customWidth="1"/>
    <col min="8008" max="8008" width="14.42578125" style="38" customWidth="1"/>
    <col min="8009" max="8010" width="1" style="38" customWidth="1"/>
    <col min="8011" max="8011" width="2" style="38" customWidth="1"/>
    <col min="8012" max="8012" width="3.85546875" style="38" customWidth="1"/>
    <col min="8013" max="8013" width="15.7109375" style="38" customWidth="1"/>
    <col min="8014" max="8014" width="12.85546875" style="38" bestFit="1" customWidth="1"/>
    <col min="8015" max="8015" width="13.85546875" style="38" customWidth="1"/>
    <col min="8016" max="8016" width="12.85546875" style="38" bestFit="1" customWidth="1"/>
    <col min="8017" max="8122" width="10" style="38"/>
    <col min="8123" max="8124" width="0" style="38" hidden="1" customWidth="1"/>
    <col min="8125" max="8125" width="1" style="38" customWidth="1"/>
    <col min="8126" max="8126" width="56" style="38" customWidth="1"/>
    <col min="8127" max="8128" width="1" style="38" customWidth="1"/>
    <col min="8129" max="8129" width="14.42578125" style="38" customWidth="1"/>
    <col min="8130" max="8131" width="1" style="38" customWidth="1"/>
    <col min="8132" max="8156" width="0" style="38" hidden="1" customWidth="1"/>
    <col min="8157" max="8157" width="1" style="38" customWidth="1"/>
    <col min="8158" max="8158" width="1.140625" style="38" customWidth="1"/>
    <col min="8159" max="8159" width="17.85546875" style="38" customWidth="1"/>
    <col min="8160" max="8161" width="1" style="38" customWidth="1"/>
    <col min="8162" max="8191" width="0" style="38" hidden="1" customWidth="1"/>
    <col min="8192" max="8193" width="1" style="38" customWidth="1"/>
    <col min="8194" max="8194" width="14.42578125" style="38" customWidth="1"/>
    <col min="8195" max="8198" width="1" style="38" customWidth="1"/>
    <col min="8199" max="8199" width="14.42578125" style="38" customWidth="1"/>
    <col min="8200" max="8201" width="1" style="38" customWidth="1"/>
    <col min="8202" max="8226" width="0" style="38" hidden="1" customWidth="1"/>
    <col min="8227" max="8228" width="1" style="38" customWidth="1"/>
    <col min="8229" max="8229" width="17.85546875" style="38" customWidth="1"/>
    <col min="8230" max="8231" width="1" style="38" customWidth="1"/>
    <col min="8232" max="8261" width="0" style="38" hidden="1" customWidth="1"/>
    <col min="8262" max="8263" width="1" style="38" customWidth="1"/>
    <col min="8264" max="8264" width="14.42578125" style="38" customWidth="1"/>
    <col min="8265" max="8266" width="1" style="38" customWidth="1"/>
    <col min="8267" max="8267" width="2" style="38" customWidth="1"/>
    <col min="8268" max="8268" width="3.85546875" style="38" customWidth="1"/>
    <col min="8269" max="8269" width="15.7109375" style="38" customWidth="1"/>
    <col min="8270" max="8270" width="12.85546875" style="38" bestFit="1" customWidth="1"/>
    <col min="8271" max="8271" width="13.85546875" style="38" customWidth="1"/>
    <col min="8272" max="8272" width="12.85546875" style="38" bestFit="1" customWidth="1"/>
    <col min="8273" max="8378" width="10" style="38"/>
    <col min="8379" max="8380" width="0" style="38" hidden="1" customWidth="1"/>
    <col min="8381" max="8381" width="1" style="38" customWidth="1"/>
    <col min="8382" max="8382" width="56" style="38" customWidth="1"/>
    <col min="8383" max="8384" width="1" style="38" customWidth="1"/>
    <col min="8385" max="8385" width="14.42578125" style="38" customWidth="1"/>
    <col min="8386" max="8387" width="1" style="38" customWidth="1"/>
    <col min="8388" max="8412" width="0" style="38" hidden="1" customWidth="1"/>
    <col min="8413" max="8413" width="1" style="38" customWidth="1"/>
    <col min="8414" max="8414" width="1.140625" style="38" customWidth="1"/>
    <col min="8415" max="8415" width="17.85546875" style="38" customWidth="1"/>
    <col min="8416" max="8417" width="1" style="38" customWidth="1"/>
    <col min="8418" max="8447" width="0" style="38" hidden="1" customWidth="1"/>
    <col min="8448" max="8449" width="1" style="38" customWidth="1"/>
    <col min="8450" max="8450" width="14.42578125" style="38" customWidth="1"/>
    <col min="8451" max="8454" width="1" style="38" customWidth="1"/>
    <col min="8455" max="8455" width="14.42578125" style="38" customWidth="1"/>
    <col min="8456" max="8457" width="1" style="38" customWidth="1"/>
    <col min="8458" max="8482" width="0" style="38" hidden="1" customWidth="1"/>
    <col min="8483" max="8484" width="1" style="38" customWidth="1"/>
    <col min="8485" max="8485" width="17.85546875" style="38" customWidth="1"/>
    <col min="8486" max="8487" width="1" style="38" customWidth="1"/>
    <col min="8488" max="8517" width="0" style="38" hidden="1" customWidth="1"/>
    <col min="8518" max="8519" width="1" style="38" customWidth="1"/>
    <col min="8520" max="8520" width="14.42578125" style="38" customWidth="1"/>
    <col min="8521" max="8522" width="1" style="38" customWidth="1"/>
    <col min="8523" max="8523" width="2" style="38" customWidth="1"/>
    <col min="8524" max="8524" width="3.85546875" style="38" customWidth="1"/>
    <col min="8525" max="8525" width="15.7109375" style="38" customWidth="1"/>
    <col min="8526" max="8526" width="12.85546875" style="38" bestFit="1" customWidth="1"/>
    <col min="8527" max="8527" width="13.85546875" style="38" customWidth="1"/>
    <col min="8528" max="8528" width="12.85546875" style="38" bestFit="1" customWidth="1"/>
    <col min="8529" max="8634" width="10" style="38"/>
    <col min="8635" max="8636" width="0" style="38" hidden="1" customWidth="1"/>
    <col min="8637" max="8637" width="1" style="38" customWidth="1"/>
    <col min="8638" max="8638" width="56" style="38" customWidth="1"/>
    <col min="8639" max="8640" width="1" style="38" customWidth="1"/>
    <col min="8641" max="8641" width="14.42578125" style="38" customWidth="1"/>
    <col min="8642" max="8643" width="1" style="38" customWidth="1"/>
    <col min="8644" max="8668" width="0" style="38" hidden="1" customWidth="1"/>
    <col min="8669" max="8669" width="1" style="38" customWidth="1"/>
    <col min="8670" max="8670" width="1.140625" style="38" customWidth="1"/>
    <col min="8671" max="8671" width="17.85546875" style="38" customWidth="1"/>
    <col min="8672" max="8673" width="1" style="38" customWidth="1"/>
    <col min="8674" max="8703" width="0" style="38" hidden="1" customWidth="1"/>
    <col min="8704" max="8705" width="1" style="38" customWidth="1"/>
    <col min="8706" max="8706" width="14.42578125" style="38" customWidth="1"/>
    <col min="8707" max="8710" width="1" style="38" customWidth="1"/>
    <col min="8711" max="8711" width="14.42578125" style="38" customWidth="1"/>
    <col min="8712" max="8713" width="1" style="38" customWidth="1"/>
    <col min="8714" max="8738" width="0" style="38" hidden="1" customWidth="1"/>
    <col min="8739" max="8740" width="1" style="38" customWidth="1"/>
    <col min="8741" max="8741" width="17.85546875" style="38" customWidth="1"/>
    <col min="8742" max="8743" width="1" style="38" customWidth="1"/>
    <col min="8744" max="8773" width="0" style="38" hidden="1" customWidth="1"/>
    <col min="8774" max="8775" width="1" style="38" customWidth="1"/>
    <col min="8776" max="8776" width="14.42578125" style="38" customWidth="1"/>
    <col min="8777" max="8778" width="1" style="38" customWidth="1"/>
    <col min="8779" max="8779" width="2" style="38" customWidth="1"/>
    <col min="8780" max="8780" width="3.85546875" style="38" customWidth="1"/>
    <col min="8781" max="8781" width="15.7109375" style="38" customWidth="1"/>
    <col min="8782" max="8782" width="12.85546875" style="38" bestFit="1" customWidth="1"/>
    <col min="8783" max="8783" width="13.85546875" style="38" customWidth="1"/>
    <col min="8784" max="8784" width="12.85546875" style="38" bestFit="1" customWidth="1"/>
    <col min="8785" max="8890" width="10" style="38"/>
    <col min="8891" max="8892" width="0" style="38" hidden="1" customWidth="1"/>
    <col min="8893" max="8893" width="1" style="38" customWidth="1"/>
    <col min="8894" max="8894" width="56" style="38" customWidth="1"/>
    <col min="8895" max="8896" width="1" style="38" customWidth="1"/>
    <col min="8897" max="8897" width="14.42578125" style="38" customWidth="1"/>
    <col min="8898" max="8899" width="1" style="38" customWidth="1"/>
    <col min="8900" max="8924" width="0" style="38" hidden="1" customWidth="1"/>
    <col min="8925" max="8925" width="1" style="38" customWidth="1"/>
    <col min="8926" max="8926" width="1.140625" style="38" customWidth="1"/>
    <col min="8927" max="8927" width="17.85546875" style="38" customWidth="1"/>
    <col min="8928" max="8929" width="1" style="38" customWidth="1"/>
    <col min="8930" max="8959" width="0" style="38" hidden="1" customWidth="1"/>
    <col min="8960" max="8961" width="1" style="38" customWidth="1"/>
    <col min="8962" max="8962" width="14.42578125" style="38" customWidth="1"/>
    <col min="8963" max="8966" width="1" style="38" customWidth="1"/>
    <col min="8967" max="8967" width="14.42578125" style="38" customWidth="1"/>
    <col min="8968" max="8969" width="1" style="38" customWidth="1"/>
    <col min="8970" max="8994" width="0" style="38" hidden="1" customWidth="1"/>
    <col min="8995" max="8996" width="1" style="38" customWidth="1"/>
    <col min="8997" max="8997" width="17.85546875" style="38" customWidth="1"/>
    <col min="8998" max="8999" width="1" style="38" customWidth="1"/>
    <col min="9000" max="9029" width="0" style="38" hidden="1" customWidth="1"/>
    <col min="9030" max="9031" width="1" style="38" customWidth="1"/>
    <col min="9032" max="9032" width="14.42578125" style="38" customWidth="1"/>
    <col min="9033" max="9034" width="1" style="38" customWidth="1"/>
    <col min="9035" max="9035" width="2" style="38" customWidth="1"/>
    <col min="9036" max="9036" width="3.85546875" style="38" customWidth="1"/>
    <col min="9037" max="9037" width="15.7109375" style="38" customWidth="1"/>
    <col min="9038" max="9038" width="12.85546875" style="38" bestFit="1" customWidth="1"/>
    <col min="9039" max="9039" width="13.85546875" style="38" customWidth="1"/>
    <col min="9040" max="9040" width="12.85546875" style="38" bestFit="1" customWidth="1"/>
    <col min="9041" max="9146" width="10" style="38"/>
    <col min="9147" max="9148" width="0" style="38" hidden="1" customWidth="1"/>
    <col min="9149" max="9149" width="1" style="38" customWidth="1"/>
    <col min="9150" max="9150" width="56" style="38" customWidth="1"/>
    <col min="9151" max="9152" width="1" style="38" customWidth="1"/>
    <col min="9153" max="9153" width="14.42578125" style="38" customWidth="1"/>
    <col min="9154" max="9155" width="1" style="38" customWidth="1"/>
    <col min="9156" max="9180" width="0" style="38" hidden="1" customWidth="1"/>
    <col min="9181" max="9181" width="1" style="38" customWidth="1"/>
    <col min="9182" max="9182" width="1.140625" style="38" customWidth="1"/>
    <col min="9183" max="9183" width="17.85546875" style="38" customWidth="1"/>
    <col min="9184" max="9185" width="1" style="38" customWidth="1"/>
    <col min="9186" max="9215" width="0" style="38" hidden="1" customWidth="1"/>
    <col min="9216" max="9217" width="1" style="38" customWidth="1"/>
    <col min="9218" max="9218" width="14.42578125" style="38" customWidth="1"/>
    <col min="9219" max="9222" width="1" style="38" customWidth="1"/>
    <col min="9223" max="9223" width="14.42578125" style="38" customWidth="1"/>
    <col min="9224" max="9225" width="1" style="38" customWidth="1"/>
    <col min="9226" max="9250" width="0" style="38" hidden="1" customWidth="1"/>
    <col min="9251" max="9252" width="1" style="38" customWidth="1"/>
    <col min="9253" max="9253" width="17.85546875" style="38" customWidth="1"/>
    <col min="9254" max="9255" width="1" style="38" customWidth="1"/>
    <col min="9256" max="9285" width="0" style="38" hidden="1" customWidth="1"/>
    <col min="9286" max="9287" width="1" style="38" customWidth="1"/>
    <col min="9288" max="9288" width="14.42578125" style="38" customWidth="1"/>
    <col min="9289" max="9290" width="1" style="38" customWidth="1"/>
    <col min="9291" max="9291" width="2" style="38" customWidth="1"/>
    <col min="9292" max="9292" width="3.85546875" style="38" customWidth="1"/>
    <col min="9293" max="9293" width="15.7109375" style="38" customWidth="1"/>
    <col min="9294" max="9294" width="12.85546875" style="38" bestFit="1" customWidth="1"/>
    <col min="9295" max="9295" width="13.85546875" style="38" customWidth="1"/>
    <col min="9296" max="9296" width="12.85546875" style="38" bestFit="1" customWidth="1"/>
    <col min="9297" max="9402" width="10" style="38"/>
    <col min="9403" max="9404" width="0" style="38" hidden="1" customWidth="1"/>
    <col min="9405" max="9405" width="1" style="38" customWidth="1"/>
    <col min="9406" max="9406" width="56" style="38" customWidth="1"/>
    <col min="9407" max="9408" width="1" style="38" customWidth="1"/>
    <col min="9409" max="9409" width="14.42578125" style="38" customWidth="1"/>
    <col min="9410" max="9411" width="1" style="38" customWidth="1"/>
    <col min="9412" max="9436" width="0" style="38" hidden="1" customWidth="1"/>
    <col min="9437" max="9437" width="1" style="38" customWidth="1"/>
    <col min="9438" max="9438" width="1.140625" style="38" customWidth="1"/>
    <col min="9439" max="9439" width="17.85546875" style="38" customWidth="1"/>
    <col min="9440" max="9441" width="1" style="38" customWidth="1"/>
    <col min="9442" max="9471" width="0" style="38" hidden="1" customWidth="1"/>
    <col min="9472" max="9473" width="1" style="38" customWidth="1"/>
    <col min="9474" max="9474" width="14.42578125" style="38" customWidth="1"/>
    <col min="9475" max="9478" width="1" style="38" customWidth="1"/>
    <col min="9479" max="9479" width="14.42578125" style="38" customWidth="1"/>
    <col min="9480" max="9481" width="1" style="38" customWidth="1"/>
    <col min="9482" max="9506" width="0" style="38" hidden="1" customWidth="1"/>
    <col min="9507" max="9508" width="1" style="38" customWidth="1"/>
    <col min="9509" max="9509" width="17.85546875" style="38" customWidth="1"/>
    <col min="9510" max="9511" width="1" style="38" customWidth="1"/>
    <col min="9512" max="9541" width="0" style="38" hidden="1" customWidth="1"/>
    <col min="9542" max="9543" width="1" style="38" customWidth="1"/>
    <col min="9544" max="9544" width="14.42578125" style="38" customWidth="1"/>
    <col min="9545" max="9546" width="1" style="38" customWidth="1"/>
    <col min="9547" max="9547" width="2" style="38" customWidth="1"/>
    <col min="9548" max="9548" width="3.85546875" style="38" customWidth="1"/>
    <col min="9549" max="9549" width="15.7109375" style="38" customWidth="1"/>
    <col min="9550" max="9550" width="12.85546875" style="38" bestFit="1" customWidth="1"/>
    <col min="9551" max="9551" width="13.85546875" style="38" customWidth="1"/>
    <col min="9552" max="9552" width="12.85546875" style="38" bestFit="1" customWidth="1"/>
    <col min="9553" max="9658" width="10" style="38"/>
    <col min="9659" max="9660" width="0" style="38" hidden="1" customWidth="1"/>
    <col min="9661" max="9661" width="1" style="38" customWidth="1"/>
    <col min="9662" max="9662" width="56" style="38" customWidth="1"/>
    <col min="9663" max="9664" width="1" style="38" customWidth="1"/>
    <col min="9665" max="9665" width="14.42578125" style="38" customWidth="1"/>
    <col min="9666" max="9667" width="1" style="38" customWidth="1"/>
    <col min="9668" max="9692" width="0" style="38" hidden="1" customWidth="1"/>
    <col min="9693" max="9693" width="1" style="38" customWidth="1"/>
    <col min="9694" max="9694" width="1.140625" style="38" customWidth="1"/>
    <col min="9695" max="9695" width="17.85546875" style="38" customWidth="1"/>
    <col min="9696" max="9697" width="1" style="38" customWidth="1"/>
    <col min="9698" max="9727" width="0" style="38" hidden="1" customWidth="1"/>
    <col min="9728" max="9729" width="1" style="38" customWidth="1"/>
    <col min="9730" max="9730" width="14.42578125" style="38" customWidth="1"/>
    <col min="9731" max="9734" width="1" style="38" customWidth="1"/>
    <col min="9735" max="9735" width="14.42578125" style="38" customWidth="1"/>
    <col min="9736" max="9737" width="1" style="38" customWidth="1"/>
    <col min="9738" max="9762" width="0" style="38" hidden="1" customWidth="1"/>
    <col min="9763" max="9764" width="1" style="38" customWidth="1"/>
    <col min="9765" max="9765" width="17.85546875" style="38" customWidth="1"/>
    <col min="9766" max="9767" width="1" style="38" customWidth="1"/>
    <col min="9768" max="9797" width="0" style="38" hidden="1" customWidth="1"/>
    <col min="9798" max="9799" width="1" style="38" customWidth="1"/>
    <col min="9800" max="9800" width="14.42578125" style="38" customWidth="1"/>
    <col min="9801" max="9802" width="1" style="38" customWidth="1"/>
    <col min="9803" max="9803" width="2" style="38" customWidth="1"/>
    <col min="9804" max="9804" width="3.85546875" style="38" customWidth="1"/>
    <col min="9805" max="9805" width="15.7109375" style="38" customWidth="1"/>
    <col min="9806" max="9806" width="12.85546875" style="38" bestFit="1" customWidth="1"/>
    <col min="9807" max="9807" width="13.85546875" style="38" customWidth="1"/>
    <col min="9808" max="9808" width="12.85546875" style="38" bestFit="1" customWidth="1"/>
    <col min="9809" max="9914" width="10" style="38"/>
    <col min="9915" max="9916" width="0" style="38" hidden="1" customWidth="1"/>
    <col min="9917" max="9917" width="1" style="38" customWidth="1"/>
    <col min="9918" max="9918" width="56" style="38" customWidth="1"/>
    <col min="9919" max="9920" width="1" style="38" customWidth="1"/>
    <col min="9921" max="9921" width="14.42578125" style="38" customWidth="1"/>
    <col min="9922" max="9923" width="1" style="38" customWidth="1"/>
    <col min="9924" max="9948" width="0" style="38" hidden="1" customWidth="1"/>
    <col min="9949" max="9949" width="1" style="38" customWidth="1"/>
    <col min="9950" max="9950" width="1.140625" style="38" customWidth="1"/>
    <col min="9951" max="9951" width="17.85546875" style="38" customWidth="1"/>
    <col min="9952" max="9953" width="1" style="38" customWidth="1"/>
    <col min="9954" max="9983" width="0" style="38" hidden="1" customWidth="1"/>
    <col min="9984" max="9985" width="1" style="38" customWidth="1"/>
    <col min="9986" max="9986" width="14.42578125" style="38" customWidth="1"/>
    <col min="9987" max="9990" width="1" style="38" customWidth="1"/>
    <col min="9991" max="9991" width="14.42578125" style="38" customWidth="1"/>
    <col min="9992" max="9993" width="1" style="38" customWidth="1"/>
    <col min="9994" max="10018" width="0" style="38" hidden="1" customWidth="1"/>
    <col min="10019" max="10020" width="1" style="38" customWidth="1"/>
    <col min="10021" max="10021" width="17.85546875" style="38" customWidth="1"/>
    <col min="10022" max="10023" width="1" style="38" customWidth="1"/>
    <col min="10024" max="10053" width="0" style="38" hidden="1" customWidth="1"/>
    <col min="10054" max="10055" width="1" style="38" customWidth="1"/>
    <col min="10056" max="10056" width="14.42578125" style="38" customWidth="1"/>
    <col min="10057" max="10058" width="1" style="38" customWidth="1"/>
    <col min="10059" max="10059" width="2" style="38" customWidth="1"/>
    <col min="10060" max="10060" width="3.85546875" style="38" customWidth="1"/>
    <col min="10061" max="10061" width="15.7109375" style="38" customWidth="1"/>
    <col min="10062" max="10062" width="12.85546875" style="38" bestFit="1" customWidth="1"/>
    <col min="10063" max="10063" width="13.85546875" style="38" customWidth="1"/>
    <col min="10064" max="10064" width="12.85546875" style="38" bestFit="1" customWidth="1"/>
    <col min="10065" max="10170" width="10" style="38"/>
    <col min="10171" max="10172" width="0" style="38" hidden="1" customWidth="1"/>
    <col min="10173" max="10173" width="1" style="38" customWidth="1"/>
    <col min="10174" max="10174" width="56" style="38" customWidth="1"/>
    <col min="10175" max="10176" width="1" style="38" customWidth="1"/>
    <col min="10177" max="10177" width="14.42578125" style="38" customWidth="1"/>
    <col min="10178" max="10179" width="1" style="38" customWidth="1"/>
    <col min="10180" max="10204" width="0" style="38" hidden="1" customWidth="1"/>
    <col min="10205" max="10205" width="1" style="38" customWidth="1"/>
    <col min="10206" max="10206" width="1.140625" style="38" customWidth="1"/>
    <col min="10207" max="10207" width="17.85546875" style="38" customWidth="1"/>
    <col min="10208" max="10209" width="1" style="38" customWidth="1"/>
    <col min="10210" max="10239" width="0" style="38" hidden="1" customWidth="1"/>
    <col min="10240" max="10241" width="1" style="38" customWidth="1"/>
    <col min="10242" max="10242" width="14.42578125" style="38" customWidth="1"/>
    <col min="10243" max="10246" width="1" style="38" customWidth="1"/>
    <col min="10247" max="10247" width="14.42578125" style="38" customWidth="1"/>
    <col min="10248" max="10249" width="1" style="38" customWidth="1"/>
    <col min="10250" max="10274" width="0" style="38" hidden="1" customWidth="1"/>
    <col min="10275" max="10276" width="1" style="38" customWidth="1"/>
    <col min="10277" max="10277" width="17.85546875" style="38" customWidth="1"/>
    <col min="10278" max="10279" width="1" style="38" customWidth="1"/>
    <col min="10280" max="10309" width="0" style="38" hidden="1" customWidth="1"/>
    <col min="10310" max="10311" width="1" style="38" customWidth="1"/>
    <col min="10312" max="10312" width="14.42578125" style="38" customWidth="1"/>
    <col min="10313" max="10314" width="1" style="38" customWidth="1"/>
    <col min="10315" max="10315" width="2" style="38" customWidth="1"/>
    <col min="10316" max="10316" width="3.85546875" style="38" customWidth="1"/>
    <col min="10317" max="10317" width="15.7109375" style="38" customWidth="1"/>
    <col min="10318" max="10318" width="12.85546875" style="38" bestFit="1" customWidth="1"/>
    <col min="10319" max="10319" width="13.85546875" style="38" customWidth="1"/>
    <col min="10320" max="10320" width="12.85546875" style="38" bestFit="1" customWidth="1"/>
    <col min="10321" max="10426" width="10" style="38"/>
    <col min="10427" max="10428" width="0" style="38" hidden="1" customWidth="1"/>
    <col min="10429" max="10429" width="1" style="38" customWidth="1"/>
    <col min="10430" max="10430" width="56" style="38" customWidth="1"/>
    <col min="10431" max="10432" width="1" style="38" customWidth="1"/>
    <col min="10433" max="10433" width="14.42578125" style="38" customWidth="1"/>
    <col min="10434" max="10435" width="1" style="38" customWidth="1"/>
    <col min="10436" max="10460" width="0" style="38" hidden="1" customWidth="1"/>
    <col min="10461" max="10461" width="1" style="38" customWidth="1"/>
    <col min="10462" max="10462" width="1.140625" style="38" customWidth="1"/>
    <col min="10463" max="10463" width="17.85546875" style="38" customWidth="1"/>
    <col min="10464" max="10465" width="1" style="38" customWidth="1"/>
    <col min="10466" max="10495" width="0" style="38" hidden="1" customWidth="1"/>
    <col min="10496" max="10497" width="1" style="38" customWidth="1"/>
    <col min="10498" max="10498" width="14.42578125" style="38" customWidth="1"/>
    <col min="10499" max="10502" width="1" style="38" customWidth="1"/>
    <col min="10503" max="10503" width="14.42578125" style="38" customWidth="1"/>
    <col min="10504" max="10505" width="1" style="38" customWidth="1"/>
    <col min="10506" max="10530" width="0" style="38" hidden="1" customWidth="1"/>
    <col min="10531" max="10532" width="1" style="38" customWidth="1"/>
    <col min="10533" max="10533" width="17.85546875" style="38" customWidth="1"/>
    <col min="10534" max="10535" width="1" style="38" customWidth="1"/>
    <col min="10536" max="10565" width="0" style="38" hidden="1" customWidth="1"/>
    <col min="10566" max="10567" width="1" style="38" customWidth="1"/>
    <col min="10568" max="10568" width="14.42578125" style="38" customWidth="1"/>
    <col min="10569" max="10570" width="1" style="38" customWidth="1"/>
    <col min="10571" max="10571" width="2" style="38" customWidth="1"/>
    <col min="10572" max="10572" width="3.85546875" style="38" customWidth="1"/>
    <col min="10573" max="10573" width="15.7109375" style="38" customWidth="1"/>
    <col min="10574" max="10574" width="12.85546875" style="38" bestFit="1" customWidth="1"/>
    <col min="10575" max="10575" width="13.85546875" style="38" customWidth="1"/>
    <col min="10576" max="10576" width="12.85546875" style="38" bestFit="1" customWidth="1"/>
    <col min="10577" max="10682" width="10" style="38"/>
    <col min="10683" max="10684" width="0" style="38" hidden="1" customWidth="1"/>
    <col min="10685" max="10685" width="1" style="38" customWidth="1"/>
    <col min="10686" max="10686" width="56" style="38" customWidth="1"/>
    <col min="10687" max="10688" width="1" style="38" customWidth="1"/>
    <col min="10689" max="10689" width="14.42578125" style="38" customWidth="1"/>
    <col min="10690" max="10691" width="1" style="38" customWidth="1"/>
    <col min="10692" max="10716" width="0" style="38" hidden="1" customWidth="1"/>
    <col min="10717" max="10717" width="1" style="38" customWidth="1"/>
    <col min="10718" max="10718" width="1.140625" style="38" customWidth="1"/>
    <col min="10719" max="10719" width="17.85546875" style="38" customWidth="1"/>
    <col min="10720" max="10721" width="1" style="38" customWidth="1"/>
    <col min="10722" max="10751" width="0" style="38" hidden="1" customWidth="1"/>
    <col min="10752" max="10753" width="1" style="38" customWidth="1"/>
    <col min="10754" max="10754" width="14.42578125" style="38" customWidth="1"/>
    <col min="10755" max="10758" width="1" style="38" customWidth="1"/>
    <col min="10759" max="10759" width="14.42578125" style="38" customWidth="1"/>
    <col min="10760" max="10761" width="1" style="38" customWidth="1"/>
    <col min="10762" max="10786" width="0" style="38" hidden="1" customWidth="1"/>
    <col min="10787" max="10788" width="1" style="38" customWidth="1"/>
    <col min="10789" max="10789" width="17.85546875" style="38" customWidth="1"/>
    <col min="10790" max="10791" width="1" style="38" customWidth="1"/>
    <col min="10792" max="10821" width="0" style="38" hidden="1" customWidth="1"/>
    <col min="10822" max="10823" width="1" style="38" customWidth="1"/>
    <col min="10824" max="10824" width="14.42578125" style="38" customWidth="1"/>
    <col min="10825" max="10826" width="1" style="38" customWidth="1"/>
    <col min="10827" max="10827" width="2" style="38" customWidth="1"/>
    <col min="10828" max="10828" width="3.85546875" style="38" customWidth="1"/>
    <col min="10829" max="10829" width="15.7109375" style="38" customWidth="1"/>
    <col min="10830" max="10830" width="12.85546875" style="38" bestFit="1" customWidth="1"/>
    <col min="10831" max="10831" width="13.85546875" style="38" customWidth="1"/>
    <col min="10832" max="10832" width="12.85546875" style="38" bestFit="1" customWidth="1"/>
    <col min="10833" max="10938" width="10" style="38"/>
    <col min="10939" max="10940" width="0" style="38" hidden="1" customWidth="1"/>
    <col min="10941" max="10941" width="1" style="38" customWidth="1"/>
    <col min="10942" max="10942" width="56" style="38" customWidth="1"/>
    <col min="10943" max="10944" width="1" style="38" customWidth="1"/>
    <col min="10945" max="10945" width="14.42578125" style="38" customWidth="1"/>
    <col min="10946" max="10947" width="1" style="38" customWidth="1"/>
    <col min="10948" max="10972" width="0" style="38" hidden="1" customWidth="1"/>
    <col min="10973" max="10973" width="1" style="38" customWidth="1"/>
    <col min="10974" max="10974" width="1.140625" style="38" customWidth="1"/>
    <col min="10975" max="10975" width="17.85546875" style="38" customWidth="1"/>
    <col min="10976" max="10977" width="1" style="38" customWidth="1"/>
    <col min="10978" max="11007" width="0" style="38" hidden="1" customWidth="1"/>
    <col min="11008" max="11009" width="1" style="38" customWidth="1"/>
    <col min="11010" max="11010" width="14.42578125" style="38" customWidth="1"/>
    <col min="11011" max="11014" width="1" style="38" customWidth="1"/>
    <col min="11015" max="11015" width="14.42578125" style="38" customWidth="1"/>
    <col min="11016" max="11017" width="1" style="38" customWidth="1"/>
    <col min="11018" max="11042" width="0" style="38" hidden="1" customWidth="1"/>
    <col min="11043" max="11044" width="1" style="38" customWidth="1"/>
    <col min="11045" max="11045" width="17.85546875" style="38" customWidth="1"/>
    <col min="11046" max="11047" width="1" style="38" customWidth="1"/>
    <col min="11048" max="11077" width="0" style="38" hidden="1" customWidth="1"/>
    <col min="11078" max="11079" width="1" style="38" customWidth="1"/>
    <col min="11080" max="11080" width="14.42578125" style="38" customWidth="1"/>
    <col min="11081" max="11082" width="1" style="38" customWidth="1"/>
    <col min="11083" max="11083" width="2" style="38" customWidth="1"/>
    <col min="11084" max="11084" width="3.85546875" style="38" customWidth="1"/>
    <col min="11085" max="11085" width="15.7109375" style="38" customWidth="1"/>
    <col min="11086" max="11086" width="12.85546875" style="38" bestFit="1" customWidth="1"/>
    <col min="11087" max="11087" width="13.85546875" style="38" customWidth="1"/>
    <col min="11088" max="11088" width="12.85546875" style="38" bestFit="1" customWidth="1"/>
    <col min="11089" max="11194" width="10" style="38"/>
    <col min="11195" max="11196" width="0" style="38" hidden="1" customWidth="1"/>
    <col min="11197" max="11197" width="1" style="38" customWidth="1"/>
    <col min="11198" max="11198" width="56" style="38" customWidth="1"/>
    <col min="11199" max="11200" width="1" style="38" customWidth="1"/>
    <col min="11201" max="11201" width="14.42578125" style="38" customWidth="1"/>
    <col min="11202" max="11203" width="1" style="38" customWidth="1"/>
    <col min="11204" max="11228" width="0" style="38" hidden="1" customWidth="1"/>
    <col min="11229" max="11229" width="1" style="38" customWidth="1"/>
    <col min="11230" max="11230" width="1.140625" style="38" customWidth="1"/>
    <col min="11231" max="11231" width="17.85546875" style="38" customWidth="1"/>
    <col min="11232" max="11233" width="1" style="38" customWidth="1"/>
    <col min="11234" max="11263" width="0" style="38" hidden="1" customWidth="1"/>
    <col min="11264" max="11265" width="1" style="38" customWidth="1"/>
    <col min="11266" max="11266" width="14.42578125" style="38" customWidth="1"/>
    <col min="11267" max="11270" width="1" style="38" customWidth="1"/>
    <col min="11271" max="11271" width="14.42578125" style="38" customWidth="1"/>
    <col min="11272" max="11273" width="1" style="38" customWidth="1"/>
    <col min="11274" max="11298" width="0" style="38" hidden="1" customWidth="1"/>
    <col min="11299" max="11300" width="1" style="38" customWidth="1"/>
    <col min="11301" max="11301" width="17.85546875" style="38" customWidth="1"/>
    <col min="11302" max="11303" width="1" style="38" customWidth="1"/>
    <col min="11304" max="11333" width="0" style="38" hidden="1" customWidth="1"/>
    <col min="11334" max="11335" width="1" style="38" customWidth="1"/>
    <col min="11336" max="11336" width="14.42578125" style="38" customWidth="1"/>
    <col min="11337" max="11338" width="1" style="38" customWidth="1"/>
    <col min="11339" max="11339" width="2" style="38" customWidth="1"/>
    <col min="11340" max="11340" width="3.85546875" style="38" customWidth="1"/>
    <col min="11341" max="11341" width="15.7109375" style="38" customWidth="1"/>
    <col min="11342" max="11342" width="12.85546875" style="38" bestFit="1" customWidth="1"/>
    <col min="11343" max="11343" width="13.85546875" style="38" customWidth="1"/>
    <col min="11344" max="11344" width="12.85546875" style="38" bestFit="1" customWidth="1"/>
    <col min="11345" max="11450" width="10" style="38"/>
    <col min="11451" max="11452" width="0" style="38" hidden="1" customWidth="1"/>
    <col min="11453" max="11453" width="1" style="38" customWidth="1"/>
    <col min="11454" max="11454" width="56" style="38" customWidth="1"/>
    <col min="11455" max="11456" width="1" style="38" customWidth="1"/>
    <col min="11457" max="11457" width="14.42578125" style="38" customWidth="1"/>
    <col min="11458" max="11459" width="1" style="38" customWidth="1"/>
    <col min="11460" max="11484" width="0" style="38" hidden="1" customWidth="1"/>
    <col min="11485" max="11485" width="1" style="38" customWidth="1"/>
    <col min="11486" max="11486" width="1.140625" style="38" customWidth="1"/>
    <col min="11487" max="11487" width="17.85546875" style="38" customWidth="1"/>
    <col min="11488" max="11489" width="1" style="38" customWidth="1"/>
    <col min="11490" max="11519" width="0" style="38" hidden="1" customWidth="1"/>
    <col min="11520" max="11521" width="1" style="38" customWidth="1"/>
    <col min="11522" max="11522" width="14.42578125" style="38" customWidth="1"/>
    <col min="11523" max="11526" width="1" style="38" customWidth="1"/>
    <col min="11527" max="11527" width="14.42578125" style="38" customWidth="1"/>
    <col min="11528" max="11529" width="1" style="38" customWidth="1"/>
    <col min="11530" max="11554" width="0" style="38" hidden="1" customWidth="1"/>
    <col min="11555" max="11556" width="1" style="38" customWidth="1"/>
    <col min="11557" max="11557" width="17.85546875" style="38" customWidth="1"/>
    <col min="11558" max="11559" width="1" style="38" customWidth="1"/>
    <col min="11560" max="11589" width="0" style="38" hidden="1" customWidth="1"/>
    <col min="11590" max="11591" width="1" style="38" customWidth="1"/>
    <col min="11592" max="11592" width="14.42578125" style="38" customWidth="1"/>
    <col min="11593" max="11594" width="1" style="38" customWidth="1"/>
    <col min="11595" max="11595" width="2" style="38" customWidth="1"/>
    <col min="11596" max="11596" width="3.85546875" style="38" customWidth="1"/>
    <col min="11597" max="11597" width="15.7109375" style="38" customWidth="1"/>
    <col min="11598" max="11598" width="12.85546875" style="38" bestFit="1" customWidth="1"/>
    <col min="11599" max="11599" width="13.85546875" style="38" customWidth="1"/>
    <col min="11600" max="11600" width="12.85546875" style="38" bestFit="1" customWidth="1"/>
    <col min="11601" max="11706" width="10" style="38"/>
    <col min="11707" max="11708" width="0" style="38" hidden="1" customWidth="1"/>
    <col min="11709" max="11709" width="1" style="38" customWidth="1"/>
    <col min="11710" max="11710" width="56" style="38" customWidth="1"/>
    <col min="11711" max="11712" width="1" style="38" customWidth="1"/>
    <col min="11713" max="11713" width="14.42578125" style="38" customWidth="1"/>
    <col min="11714" max="11715" width="1" style="38" customWidth="1"/>
    <col min="11716" max="11740" width="0" style="38" hidden="1" customWidth="1"/>
    <col min="11741" max="11741" width="1" style="38" customWidth="1"/>
    <col min="11742" max="11742" width="1.140625" style="38" customWidth="1"/>
    <col min="11743" max="11743" width="17.85546875" style="38" customWidth="1"/>
    <col min="11744" max="11745" width="1" style="38" customWidth="1"/>
    <col min="11746" max="11775" width="0" style="38" hidden="1" customWidth="1"/>
    <col min="11776" max="11777" width="1" style="38" customWidth="1"/>
    <col min="11778" max="11778" width="14.42578125" style="38" customWidth="1"/>
    <col min="11779" max="11782" width="1" style="38" customWidth="1"/>
    <col min="11783" max="11783" width="14.42578125" style="38" customWidth="1"/>
    <col min="11784" max="11785" width="1" style="38" customWidth="1"/>
    <col min="11786" max="11810" width="0" style="38" hidden="1" customWidth="1"/>
    <col min="11811" max="11812" width="1" style="38" customWidth="1"/>
    <col min="11813" max="11813" width="17.85546875" style="38" customWidth="1"/>
    <col min="11814" max="11815" width="1" style="38" customWidth="1"/>
    <col min="11816" max="11845" width="0" style="38" hidden="1" customWidth="1"/>
    <col min="11846" max="11847" width="1" style="38" customWidth="1"/>
    <col min="11848" max="11848" width="14.42578125" style="38" customWidth="1"/>
    <col min="11849" max="11850" width="1" style="38" customWidth="1"/>
    <col min="11851" max="11851" width="2" style="38" customWidth="1"/>
    <col min="11852" max="11852" width="3.85546875" style="38" customWidth="1"/>
    <col min="11853" max="11853" width="15.7109375" style="38" customWidth="1"/>
    <col min="11854" max="11854" width="12.85546875" style="38" bestFit="1" customWidth="1"/>
    <col min="11855" max="11855" width="13.85546875" style="38" customWidth="1"/>
    <col min="11856" max="11856" width="12.85546875" style="38" bestFit="1" customWidth="1"/>
    <col min="11857" max="11962" width="10" style="38"/>
    <col min="11963" max="11964" width="0" style="38" hidden="1" customWidth="1"/>
    <col min="11965" max="11965" width="1" style="38" customWidth="1"/>
    <col min="11966" max="11966" width="56" style="38" customWidth="1"/>
    <col min="11967" max="11968" width="1" style="38" customWidth="1"/>
    <col min="11969" max="11969" width="14.42578125" style="38" customWidth="1"/>
    <col min="11970" max="11971" width="1" style="38" customWidth="1"/>
    <col min="11972" max="11996" width="0" style="38" hidden="1" customWidth="1"/>
    <col min="11997" max="11997" width="1" style="38" customWidth="1"/>
    <col min="11998" max="11998" width="1.140625" style="38" customWidth="1"/>
    <col min="11999" max="11999" width="17.85546875" style="38" customWidth="1"/>
    <col min="12000" max="12001" width="1" style="38" customWidth="1"/>
    <col min="12002" max="12031" width="0" style="38" hidden="1" customWidth="1"/>
    <col min="12032" max="12033" width="1" style="38" customWidth="1"/>
    <col min="12034" max="12034" width="14.42578125" style="38" customWidth="1"/>
    <col min="12035" max="12038" width="1" style="38" customWidth="1"/>
    <col min="12039" max="12039" width="14.42578125" style="38" customWidth="1"/>
    <col min="12040" max="12041" width="1" style="38" customWidth="1"/>
    <col min="12042" max="12066" width="0" style="38" hidden="1" customWidth="1"/>
    <col min="12067" max="12068" width="1" style="38" customWidth="1"/>
    <col min="12069" max="12069" width="17.85546875" style="38" customWidth="1"/>
    <col min="12070" max="12071" width="1" style="38" customWidth="1"/>
    <col min="12072" max="12101" width="0" style="38" hidden="1" customWidth="1"/>
    <col min="12102" max="12103" width="1" style="38" customWidth="1"/>
    <col min="12104" max="12104" width="14.42578125" style="38" customWidth="1"/>
    <col min="12105" max="12106" width="1" style="38" customWidth="1"/>
    <col min="12107" max="12107" width="2" style="38" customWidth="1"/>
    <col min="12108" max="12108" width="3.85546875" style="38" customWidth="1"/>
    <col min="12109" max="12109" width="15.7109375" style="38" customWidth="1"/>
    <col min="12110" max="12110" width="12.85546875" style="38" bestFit="1" customWidth="1"/>
    <col min="12111" max="12111" width="13.85546875" style="38" customWidth="1"/>
    <col min="12112" max="12112" width="12.85546875" style="38" bestFit="1" customWidth="1"/>
    <col min="12113" max="12218" width="10" style="38"/>
    <col min="12219" max="12220" width="0" style="38" hidden="1" customWidth="1"/>
    <col min="12221" max="12221" width="1" style="38" customWidth="1"/>
    <col min="12222" max="12222" width="56" style="38" customWidth="1"/>
    <col min="12223" max="12224" width="1" style="38" customWidth="1"/>
    <col min="12225" max="12225" width="14.42578125" style="38" customWidth="1"/>
    <col min="12226" max="12227" width="1" style="38" customWidth="1"/>
    <col min="12228" max="12252" width="0" style="38" hidden="1" customWidth="1"/>
    <col min="12253" max="12253" width="1" style="38" customWidth="1"/>
    <col min="12254" max="12254" width="1.140625" style="38" customWidth="1"/>
    <col min="12255" max="12255" width="17.85546875" style="38" customWidth="1"/>
    <col min="12256" max="12257" width="1" style="38" customWidth="1"/>
    <col min="12258" max="12287" width="0" style="38" hidden="1" customWidth="1"/>
    <col min="12288" max="12289" width="1" style="38" customWidth="1"/>
    <col min="12290" max="12290" width="14.42578125" style="38" customWidth="1"/>
    <col min="12291" max="12294" width="1" style="38" customWidth="1"/>
    <col min="12295" max="12295" width="14.42578125" style="38" customWidth="1"/>
    <col min="12296" max="12297" width="1" style="38" customWidth="1"/>
    <col min="12298" max="12322" width="0" style="38" hidden="1" customWidth="1"/>
    <col min="12323" max="12324" width="1" style="38" customWidth="1"/>
    <col min="12325" max="12325" width="17.85546875" style="38" customWidth="1"/>
    <col min="12326" max="12327" width="1" style="38" customWidth="1"/>
    <col min="12328" max="12357" width="0" style="38" hidden="1" customWidth="1"/>
    <col min="12358" max="12359" width="1" style="38" customWidth="1"/>
    <col min="12360" max="12360" width="14.42578125" style="38" customWidth="1"/>
    <col min="12361" max="12362" width="1" style="38" customWidth="1"/>
    <col min="12363" max="12363" width="2" style="38" customWidth="1"/>
    <col min="12364" max="12364" width="3.85546875" style="38" customWidth="1"/>
    <col min="12365" max="12365" width="15.7109375" style="38" customWidth="1"/>
    <col min="12366" max="12366" width="12.85546875" style="38" bestFit="1" customWidth="1"/>
    <col min="12367" max="12367" width="13.85546875" style="38" customWidth="1"/>
    <col min="12368" max="12368" width="12.85546875" style="38" bestFit="1" customWidth="1"/>
    <col min="12369" max="12474" width="10" style="38"/>
    <col min="12475" max="12476" width="0" style="38" hidden="1" customWidth="1"/>
    <col min="12477" max="12477" width="1" style="38" customWidth="1"/>
    <col min="12478" max="12478" width="56" style="38" customWidth="1"/>
    <col min="12479" max="12480" width="1" style="38" customWidth="1"/>
    <col min="12481" max="12481" width="14.42578125" style="38" customWidth="1"/>
    <col min="12482" max="12483" width="1" style="38" customWidth="1"/>
    <col min="12484" max="12508" width="0" style="38" hidden="1" customWidth="1"/>
    <col min="12509" max="12509" width="1" style="38" customWidth="1"/>
    <col min="12510" max="12510" width="1.140625" style="38" customWidth="1"/>
    <col min="12511" max="12511" width="17.85546875" style="38" customWidth="1"/>
    <col min="12512" max="12513" width="1" style="38" customWidth="1"/>
    <col min="12514" max="12543" width="0" style="38" hidden="1" customWidth="1"/>
    <col min="12544" max="12545" width="1" style="38" customWidth="1"/>
    <col min="12546" max="12546" width="14.42578125" style="38" customWidth="1"/>
    <col min="12547" max="12550" width="1" style="38" customWidth="1"/>
    <col min="12551" max="12551" width="14.42578125" style="38" customWidth="1"/>
    <col min="12552" max="12553" width="1" style="38" customWidth="1"/>
    <col min="12554" max="12578" width="0" style="38" hidden="1" customWidth="1"/>
    <col min="12579" max="12580" width="1" style="38" customWidth="1"/>
    <col min="12581" max="12581" width="17.85546875" style="38" customWidth="1"/>
    <col min="12582" max="12583" width="1" style="38" customWidth="1"/>
    <col min="12584" max="12613" width="0" style="38" hidden="1" customWidth="1"/>
    <col min="12614" max="12615" width="1" style="38" customWidth="1"/>
    <col min="12616" max="12616" width="14.42578125" style="38" customWidth="1"/>
    <col min="12617" max="12618" width="1" style="38" customWidth="1"/>
    <col min="12619" max="12619" width="2" style="38" customWidth="1"/>
    <col min="12620" max="12620" width="3.85546875" style="38" customWidth="1"/>
    <col min="12621" max="12621" width="15.7109375" style="38" customWidth="1"/>
    <col min="12622" max="12622" width="12.85546875" style="38" bestFit="1" customWidth="1"/>
    <col min="12623" max="12623" width="13.85546875" style="38" customWidth="1"/>
    <col min="12624" max="12624" width="12.85546875" style="38" bestFit="1" customWidth="1"/>
    <col min="12625" max="12730" width="10" style="38"/>
    <col min="12731" max="12732" width="0" style="38" hidden="1" customWidth="1"/>
    <col min="12733" max="12733" width="1" style="38" customWidth="1"/>
    <col min="12734" max="12734" width="56" style="38" customWidth="1"/>
    <col min="12735" max="12736" width="1" style="38" customWidth="1"/>
    <col min="12737" max="12737" width="14.42578125" style="38" customWidth="1"/>
    <col min="12738" max="12739" width="1" style="38" customWidth="1"/>
    <col min="12740" max="12764" width="0" style="38" hidden="1" customWidth="1"/>
    <col min="12765" max="12765" width="1" style="38" customWidth="1"/>
    <col min="12766" max="12766" width="1.140625" style="38" customWidth="1"/>
    <col min="12767" max="12767" width="17.85546875" style="38" customWidth="1"/>
    <col min="12768" max="12769" width="1" style="38" customWidth="1"/>
    <col min="12770" max="12799" width="0" style="38" hidden="1" customWidth="1"/>
    <col min="12800" max="12801" width="1" style="38" customWidth="1"/>
    <col min="12802" max="12802" width="14.42578125" style="38" customWidth="1"/>
    <col min="12803" max="12806" width="1" style="38" customWidth="1"/>
    <col min="12807" max="12807" width="14.42578125" style="38" customWidth="1"/>
    <col min="12808" max="12809" width="1" style="38" customWidth="1"/>
    <col min="12810" max="12834" width="0" style="38" hidden="1" customWidth="1"/>
    <col min="12835" max="12836" width="1" style="38" customWidth="1"/>
    <col min="12837" max="12837" width="17.85546875" style="38" customWidth="1"/>
    <col min="12838" max="12839" width="1" style="38" customWidth="1"/>
    <col min="12840" max="12869" width="0" style="38" hidden="1" customWidth="1"/>
    <col min="12870" max="12871" width="1" style="38" customWidth="1"/>
    <col min="12872" max="12872" width="14.42578125" style="38" customWidth="1"/>
    <col min="12873" max="12874" width="1" style="38" customWidth="1"/>
    <col min="12875" max="12875" width="2" style="38" customWidth="1"/>
    <col min="12876" max="12876" width="3.85546875" style="38" customWidth="1"/>
    <col min="12877" max="12877" width="15.7109375" style="38" customWidth="1"/>
    <col min="12878" max="12878" width="12.85546875" style="38" bestFit="1" customWidth="1"/>
    <col min="12879" max="12879" width="13.85546875" style="38" customWidth="1"/>
    <col min="12880" max="12880" width="12.85546875" style="38" bestFit="1" customWidth="1"/>
    <col min="12881" max="12986" width="10" style="38"/>
    <col min="12987" max="12988" width="0" style="38" hidden="1" customWidth="1"/>
    <col min="12989" max="12989" width="1" style="38" customWidth="1"/>
    <col min="12990" max="12990" width="56" style="38" customWidth="1"/>
    <col min="12991" max="12992" width="1" style="38" customWidth="1"/>
    <col min="12993" max="12993" width="14.42578125" style="38" customWidth="1"/>
    <col min="12994" max="12995" width="1" style="38" customWidth="1"/>
    <col min="12996" max="13020" width="0" style="38" hidden="1" customWidth="1"/>
    <col min="13021" max="13021" width="1" style="38" customWidth="1"/>
    <col min="13022" max="13022" width="1.140625" style="38" customWidth="1"/>
    <col min="13023" max="13023" width="17.85546875" style="38" customWidth="1"/>
    <col min="13024" max="13025" width="1" style="38" customWidth="1"/>
    <col min="13026" max="13055" width="0" style="38" hidden="1" customWidth="1"/>
    <col min="13056" max="13057" width="1" style="38" customWidth="1"/>
    <col min="13058" max="13058" width="14.42578125" style="38" customWidth="1"/>
    <col min="13059" max="13062" width="1" style="38" customWidth="1"/>
    <col min="13063" max="13063" width="14.42578125" style="38" customWidth="1"/>
    <col min="13064" max="13065" width="1" style="38" customWidth="1"/>
    <col min="13066" max="13090" width="0" style="38" hidden="1" customWidth="1"/>
    <col min="13091" max="13092" width="1" style="38" customWidth="1"/>
    <col min="13093" max="13093" width="17.85546875" style="38" customWidth="1"/>
    <col min="13094" max="13095" width="1" style="38" customWidth="1"/>
    <col min="13096" max="13125" width="0" style="38" hidden="1" customWidth="1"/>
    <col min="13126" max="13127" width="1" style="38" customWidth="1"/>
    <col min="13128" max="13128" width="14.42578125" style="38" customWidth="1"/>
    <col min="13129" max="13130" width="1" style="38" customWidth="1"/>
    <col min="13131" max="13131" width="2" style="38" customWidth="1"/>
    <col min="13132" max="13132" width="3.85546875" style="38" customWidth="1"/>
    <col min="13133" max="13133" width="15.7109375" style="38" customWidth="1"/>
    <col min="13134" max="13134" width="12.85546875" style="38" bestFit="1" customWidth="1"/>
    <col min="13135" max="13135" width="13.85546875" style="38" customWidth="1"/>
    <col min="13136" max="13136" width="12.85546875" style="38" bestFit="1" customWidth="1"/>
    <col min="13137" max="13242" width="10" style="38"/>
    <col min="13243" max="13244" width="0" style="38" hidden="1" customWidth="1"/>
    <col min="13245" max="13245" width="1" style="38" customWidth="1"/>
    <col min="13246" max="13246" width="56" style="38" customWidth="1"/>
    <col min="13247" max="13248" width="1" style="38" customWidth="1"/>
    <col min="13249" max="13249" width="14.42578125" style="38" customWidth="1"/>
    <col min="13250" max="13251" width="1" style="38" customWidth="1"/>
    <col min="13252" max="13276" width="0" style="38" hidden="1" customWidth="1"/>
    <col min="13277" max="13277" width="1" style="38" customWidth="1"/>
    <col min="13278" max="13278" width="1.140625" style="38" customWidth="1"/>
    <col min="13279" max="13279" width="17.85546875" style="38" customWidth="1"/>
    <col min="13280" max="13281" width="1" style="38" customWidth="1"/>
    <col min="13282" max="13311" width="0" style="38" hidden="1" customWidth="1"/>
    <col min="13312" max="13313" width="1" style="38" customWidth="1"/>
    <col min="13314" max="13314" width="14.42578125" style="38" customWidth="1"/>
    <col min="13315" max="13318" width="1" style="38" customWidth="1"/>
    <col min="13319" max="13319" width="14.42578125" style="38" customWidth="1"/>
    <col min="13320" max="13321" width="1" style="38" customWidth="1"/>
    <col min="13322" max="13346" width="0" style="38" hidden="1" customWidth="1"/>
    <col min="13347" max="13348" width="1" style="38" customWidth="1"/>
    <col min="13349" max="13349" width="17.85546875" style="38" customWidth="1"/>
    <col min="13350" max="13351" width="1" style="38" customWidth="1"/>
    <col min="13352" max="13381" width="0" style="38" hidden="1" customWidth="1"/>
    <col min="13382" max="13383" width="1" style="38" customWidth="1"/>
    <col min="13384" max="13384" width="14.42578125" style="38" customWidth="1"/>
    <col min="13385" max="13386" width="1" style="38" customWidth="1"/>
    <col min="13387" max="13387" width="2" style="38" customWidth="1"/>
    <col min="13388" max="13388" width="3.85546875" style="38" customWidth="1"/>
    <col min="13389" max="13389" width="15.7109375" style="38" customWidth="1"/>
    <col min="13390" max="13390" width="12.85546875" style="38" bestFit="1" customWidth="1"/>
    <col min="13391" max="13391" width="13.85546875" style="38" customWidth="1"/>
    <col min="13392" max="13392" width="12.85546875" style="38" bestFit="1" customWidth="1"/>
    <col min="13393" max="13498" width="10" style="38"/>
    <col min="13499" max="13500" width="0" style="38" hidden="1" customWidth="1"/>
    <col min="13501" max="13501" width="1" style="38" customWidth="1"/>
    <col min="13502" max="13502" width="56" style="38" customWidth="1"/>
    <col min="13503" max="13504" width="1" style="38" customWidth="1"/>
    <col min="13505" max="13505" width="14.42578125" style="38" customWidth="1"/>
    <col min="13506" max="13507" width="1" style="38" customWidth="1"/>
    <col min="13508" max="13532" width="0" style="38" hidden="1" customWidth="1"/>
    <col min="13533" max="13533" width="1" style="38" customWidth="1"/>
    <col min="13534" max="13534" width="1.140625" style="38" customWidth="1"/>
    <col min="13535" max="13535" width="17.85546875" style="38" customWidth="1"/>
    <col min="13536" max="13537" width="1" style="38" customWidth="1"/>
    <col min="13538" max="13567" width="0" style="38" hidden="1" customWidth="1"/>
    <col min="13568" max="13569" width="1" style="38" customWidth="1"/>
    <col min="13570" max="13570" width="14.42578125" style="38" customWidth="1"/>
    <col min="13571" max="13574" width="1" style="38" customWidth="1"/>
    <col min="13575" max="13575" width="14.42578125" style="38" customWidth="1"/>
    <col min="13576" max="13577" width="1" style="38" customWidth="1"/>
    <col min="13578" max="13602" width="0" style="38" hidden="1" customWidth="1"/>
    <col min="13603" max="13604" width="1" style="38" customWidth="1"/>
    <col min="13605" max="13605" width="17.85546875" style="38" customWidth="1"/>
    <col min="13606" max="13607" width="1" style="38" customWidth="1"/>
    <col min="13608" max="13637" width="0" style="38" hidden="1" customWidth="1"/>
    <col min="13638" max="13639" width="1" style="38" customWidth="1"/>
    <col min="13640" max="13640" width="14.42578125" style="38" customWidth="1"/>
    <col min="13641" max="13642" width="1" style="38" customWidth="1"/>
    <col min="13643" max="13643" width="2" style="38" customWidth="1"/>
    <col min="13644" max="13644" width="3.85546875" style="38" customWidth="1"/>
    <col min="13645" max="13645" width="15.7109375" style="38" customWidth="1"/>
    <col min="13646" max="13646" width="12.85546875" style="38" bestFit="1" customWidth="1"/>
    <col min="13647" max="13647" width="13.85546875" style="38" customWidth="1"/>
    <col min="13648" max="13648" width="12.85546875" style="38" bestFit="1" customWidth="1"/>
    <col min="13649" max="13754" width="10" style="38"/>
    <col min="13755" max="13756" width="0" style="38" hidden="1" customWidth="1"/>
    <col min="13757" max="13757" width="1" style="38" customWidth="1"/>
    <col min="13758" max="13758" width="56" style="38" customWidth="1"/>
    <col min="13759" max="13760" width="1" style="38" customWidth="1"/>
    <col min="13761" max="13761" width="14.42578125" style="38" customWidth="1"/>
    <col min="13762" max="13763" width="1" style="38" customWidth="1"/>
    <col min="13764" max="13788" width="0" style="38" hidden="1" customWidth="1"/>
    <col min="13789" max="13789" width="1" style="38" customWidth="1"/>
    <col min="13790" max="13790" width="1.140625" style="38" customWidth="1"/>
    <col min="13791" max="13791" width="17.85546875" style="38" customWidth="1"/>
    <col min="13792" max="13793" width="1" style="38" customWidth="1"/>
    <col min="13794" max="13823" width="0" style="38" hidden="1" customWidth="1"/>
    <col min="13824" max="13825" width="1" style="38" customWidth="1"/>
    <col min="13826" max="13826" width="14.42578125" style="38" customWidth="1"/>
    <col min="13827" max="13830" width="1" style="38" customWidth="1"/>
    <col min="13831" max="13831" width="14.42578125" style="38" customWidth="1"/>
    <col min="13832" max="13833" width="1" style="38" customWidth="1"/>
    <col min="13834" max="13858" width="0" style="38" hidden="1" customWidth="1"/>
    <col min="13859" max="13860" width="1" style="38" customWidth="1"/>
    <col min="13861" max="13861" width="17.85546875" style="38" customWidth="1"/>
    <col min="13862" max="13863" width="1" style="38" customWidth="1"/>
    <col min="13864" max="13893" width="0" style="38" hidden="1" customWidth="1"/>
    <col min="13894" max="13895" width="1" style="38" customWidth="1"/>
    <col min="13896" max="13896" width="14.42578125" style="38" customWidth="1"/>
    <col min="13897" max="13898" width="1" style="38" customWidth="1"/>
    <col min="13899" max="13899" width="2" style="38" customWidth="1"/>
    <col min="13900" max="13900" width="3.85546875" style="38" customWidth="1"/>
    <col min="13901" max="13901" width="15.7109375" style="38" customWidth="1"/>
    <col min="13902" max="13902" width="12.85546875" style="38" bestFit="1" customWidth="1"/>
    <col min="13903" max="13903" width="13.85546875" style="38" customWidth="1"/>
    <col min="13904" max="13904" width="12.85546875" style="38" bestFit="1" customWidth="1"/>
    <col min="13905" max="14010" width="10" style="38"/>
    <col min="14011" max="14012" width="0" style="38" hidden="1" customWidth="1"/>
    <col min="14013" max="14013" width="1" style="38" customWidth="1"/>
    <col min="14014" max="14014" width="56" style="38" customWidth="1"/>
    <col min="14015" max="14016" width="1" style="38" customWidth="1"/>
    <col min="14017" max="14017" width="14.42578125" style="38" customWidth="1"/>
    <col min="14018" max="14019" width="1" style="38" customWidth="1"/>
    <col min="14020" max="14044" width="0" style="38" hidden="1" customWidth="1"/>
    <col min="14045" max="14045" width="1" style="38" customWidth="1"/>
    <col min="14046" max="14046" width="1.140625" style="38" customWidth="1"/>
    <col min="14047" max="14047" width="17.85546875" style="38" customWidth="1"/>
    <col min="14048" max="14049" width="1" style="38" customWidth="1"/>
    <col min="14050" max="14079" width="0" style="38" hidden="1" customWidth="1"/>
    <col min="14080" max="14081" width="1" style="38" customWidth="1"/>
    <col min="14082" max="14082" width="14.42578125" style="38" customWidth="1"/>
    <col min="14083" max="14086" width="1" style="38" customWidth="1"/>
    <col min="14087" max="14087" width="14.42578125" style="38" customWidth="1"/>
    <col min="14088" max="14089" width="1" style="38" customWidth="1"/>
    <col min="14090" max="14114" width="0" style="38" hidden="1" customWidth="1"/>
    <col min="14115" max="14116" width="1" style="38" customWidth="1"/>
    <col min="14117" max="14117" width="17.85546875" style="38" customWidth="1"/>
    <col min="14118" max="14119" width="1" style="38" customWidth="1"/>
    <col min="14120" max="14149" width="0" style="38" hidden="1" customWidth="1"/>
    <col min="14150" max="14151" width="1" style="38" customWidth="1"/>
    <col min="14152" max="14152" width="14.42578125" style="38" customWidth="1"/>
    <col min="14153" max="14154" width="1" style="38" customWidth="1"/>
    <col min="14155" max="14155" width="2" style="38" customWidth="1"/>
    <col min="14156" max="14156" width="3.85546875" style="38" customWidth="1"/>
    <col min="14157" max="14157" width="15.7109375" style="38" customWidth="1"/>
    <col min="14158" max="14158" width="12.85546875" style="38" bestFit="1" customWidth="1"/>
    <col min="14159" max="14159" width="13.85546875" style="38" customWidth="1"/>
    <col min="14160" max="14160" width="12.85546875" style="38" bestFit="1" customWidth="1"/>
    <col min="14161" max="14266" width="10" style="38"/>
    <col min="14267" max="14268" width="0" style="38" hidden="1" customWidth="1"/>
    <col min="14269" max="14269" width="1" style="38" customWidth="1"/>
    <col min="14270" max="14270" width="56" style="38" customWidth="1"/>
    <col min="14271" max="14272" width="1" style="38" customWidth="1"/>
    <col min="14273" max="14273" width="14.42578125" style="38" customWidth="1"/>
    <col min="14274" max="14275" width="1" style="38" customWidth="1"/>
    <col min="14276" max="14300" width="0" style="38" hidden="1" customWidth="1"/>
    <col min="14301" max="14301" width="1" style="38" customWidth="1"/>
    <col min="14302" max="14302" width="1.140625" style="38" customWidth="1"/>
    <col min="14303" max="14303" width="17.85546875" style="38" customWidth="1"/>
    <col min="14304" max="14305" width="1" style="38" customWidth="1"/>
    <col min="14306" max="14335" width="0" style="38" hidden="1" customWidth="1"/>
    <col min="14336" max="14337" width="1" style="38" customWidth="1"/>
    <col min="14338" max="14338" width="14.42578125" style="38" customWidth="1"/>
    <col min="14339" max="14342" width="1" style="38" customWidth="1"/>
    <col min="14343" max="14343" width="14.42578125" style="38" customWidth="1"/>
    <col min="14344" max="14345" width="1" style="38" customWidth="1"/>
    <col min="14346" max="14370" width="0" style="38" hidden="1" customWidth="1"/>
    <col min="14371" max="14372" width="1" style="38" customWidth="1"/>
    <col min="14373" max="14373" width="17.85546875" style="38" customWidth="1"/>
    <col min="14374" max="14375" width="1" style="38" customWidth="1"/>
    <col min="14376" max="14405" width="0" style="38" hidden="1" customWidth="1"/>
    <col min="14406" max="14407" width="1" style="38" customWidth="1"/>
    <col min="14408" max="14408" width="14.42578125" style="38" customWidth="1"/>
    <col min="14409" max="14410" width="1" style="38" customWidth="1"/>
    <col min="14411" max="14411" width="2" style="38" customWidth="1"/>
    <col min="14412" max="14412" width="3.85546875" style="38" customWidth="1"/>
    <col min="14413" max="14413" width="15.7109375" style="38" customWidth="1"/>
    <col min="14414" max="14414" width="12.85546875" style="38" bestFit="1" customWidth="1"/>
    <col min="14415" max="14415" width="13.85546875" style="38" customWidth="1"/>
    <col min="14416" max="14416" width="12.85546875" style="38" bestFit="1" customWidth="1"/>
    <col min="14417" max="14522" width="10" style="38"/>
    <col min="14523" max="14524" width="0" style="38" hidden="1" customWidth="1"/>
    <col min="14525" max="14525" width="1" style="38" customWidth="1"/>
    <col min="14526" max="14526" width="56" style="38" customWidth="1"/>
    <col min="14527" max="14528" width="1" style="38" customWidth="1"/>
    <col min="14529" max="14529" width="14.42578125" style="38" customWidth="1"/>
    <col min="14530" max="14531" width="1" style="38" customWidth="1"/>
    <col min="14532" max="14556" width="0" style="38" hidden="1" customWidth="1"/>
    <col min="14557" max="14557" width="1" style="38" customWidth="1"/>
    <col min="14558" max="14558" width="1.140625" style="38" customWidth="1"/>
    <col min="14559" max="14559" width="17.85546875" style="38" customWidth="1"/>
    <col min="14560" max="14561" width="1" style="38" customWidth="1"/>
    <col min="14562" max="14591" width="0" style="38" hidden="1" customWidth="1"/>
    <col min="14592" max="14593" width="1" style="38" customWidth="1"/>
    <col min="14594" max="14594" width="14.42578125" style="38" customWidth="1"/>
    <col min="14595" max="14598" width="1" style="38" customWidth="1"/>
    <col min="14599" max="14599" width="14.42578125" style="38" customWidth="1"/>
    <col min="14600" max="14601" width="1" style="38" customWidth="1"/>
    <col min="14602" max="14626" width="0" style="38" hidden="1" customWidth="1"/>
    <col min="14627" max="14628" width="1" style="38" customWidth="1"/>
    <col min="14629" max="14629" width="17.85546875" style="38" customWidth="1"/>
    <col min="14630" max="14631" width="1" style="38" customWidth="1"/>
    <col min="14632" max="14661" width="0" style="38" hidden="1" customWidth="1"/>
    <col min="14662" max="14663" width="1" style="38" customWidth="1"/>
    <col min="14664" max="14664" width="14.42578125" style="38" customWidth="1"/>
    <col min="14665" max="14666" width="1" style="38" customWidth="1"/>
    <col min="14667" max="14667" width="2" style="38" customWidth="1"/>
    <col min="14668" max="14668" width="3.85546875" style="38" customWidth="1"/>
    <col min="14669" max="14669" width="15.7109375" style="38" customWidth="1"/>
    <col min="14670" max="14670" width="12.85546875" style="38" bestFit="1" customWidth="1"/>
    <col min="14671" max="14671" width="13.85546875" style="38" customWidth="1"/>
    <col min="14672" max="14672" width="12.85546875" style="38" bestFit="1" customWidth="1"/>
    <col min="14673" max="14778" width="10" style="38"/>
    <col min="14779" max="14780" width="0" style="38" hidden="1" customWidth="1"/>
    <col min="14781" max="14781" width="1" style="38" customWidth="1"/>
    <col min="14782" max="14782" width="56" style="38" customWidth="1"/>
    <col min="14783" max="14784" width="1" style="38" customWidth="1"/>
    <col min="14785" max="14785" width="14.42578125" style="38" customWidth="1"/>
    <col min="14786" max="14787" width="1" style="38" customWidth="1"/>
    <col min="14788" max="14812" width="0" style="38" hidden="1" customWidth="1"/>
    <col min="14813" max="14813" width="1" style="38" customWidth="1"/>
    <col min="14814" max="14814" width="1.140625" style="38" customWidth="1"/>
    <col min="14815" max="14815" width="17.85546875" style="38" customWidth="1"/>
    <col min="14816" max="14817" width="1" style="38" customWidth="1"/>
    <col min="14818" max="14847" width="0" style="38" hidden="1" customWidth="1"/>
    <col min="14848" max="14849" width="1" style="38" customWidth="1"/>
    <col min="14850" max="14850" width="14.42578125" style="38" customWidth="1"/>
    <col min="14851" max="14854" width="1" style="38" customWidth="1"/>
    <col min="14855" max="14855" width="14.42578125" style="38" customWidth="1"/>
    <col min="14856" max="14857" width="1" style="38" customWidth="1"/>
    <col min="14858" max="14882" width="0" style="38" hidden="1" customWidth="1"/>
    <col min="14883" max="14884" width="1" style="38" customWidth="1"/>
    <col min="14885" max="14885" width="17.85546875" style="38" customWidth="1"/>
    <col min="14886" max="14887" width="1" style="38" customWidth="1"/>
    <col min="14888" max="14917" width="0" style="38" hidden="1" customWidth="1"/>
    <col min="14918" max="14919" width="1" style="38" customWidth="1"/>
    <col min="14920" max="14920" width="14.42578125" style="38" customWidth="1"/>
    <col min="14921" max="14922" width="1" style="38" customWidth="1"/>
    <col min="14923" max="14923" width="2" style="38" customWidth="1"/>
    <col min="14924" max="14924" width="3.85546875" style="38" customWidth="1"/>
    <col min="14925" max="14925" width="15.7109375" style="38" customWidth="1"/>
    <col min="14926" max="14926" width="12.85546875" style="38" bestFit="1" customWidth="1"/>
    <col min="14927" max="14927" width="13.85546875" style="38" customWidth="1"/>
    <col min="14928" max="14928" width="12.85546875" style="38" bestFit="1" customWidth="1"/>
    <col min="14929" max="15034" width="10" style="38"/>
    <col min="15035" max="15036" width="0" style="38" hidden="1" customWidth="1"/>
    <col min="15037" max="15037" width="1" style="38" customWidth="1"/>
    <col min="15038" max="15038" width="56" style="38" customWidth="1"/>
    <col min="15039" max="15040" width="1" style="38" customWidth="1"/>
    <col min="15041" max="15041" width="14.42578125" style="38" customWidth="1"/>
    <col min="15042" max="15043" width="1" style="38" customWidth="1"/>
    <col min="15044" max="15068" width="0" style="38" hidden="1" customWidth="1"/>
    <col min="15069" max="15069" width="1" style="38" customWidth="1"/>
    <col min="15070" max="15070" width="1.140625" style="38" customWidth="1"/>
    <col min="15071" max="15071" width="17.85546875" style="38" customWidth="1"/>
    <col min="15072" max="15073" width="1" style="38" customWidth="1"/>
    <col min="15074" max="15103" width="0" style="38" hidden="1" customWidth="1"/>
    <col min="15104" max="15105" width="1" style="38" customWidth="1"/>
    <col min="15106" max="15106" width="14.42578125" style="38" customWidth="1"/>
    <col min="15107" max="15110" width="1" style="38" customWidth="1"/>
    <col min="15111" max="15111" width="14.42578125" style="38" customWidth="1"/>
    <col min="15112" max="15113" width="1" style="38" customWidth="1"/>
    <col min="15114" max="15138" width="0" style="38" hidden="1" customWidth="1"/>
    <col min="15139" max="15140" width="1" style="38" customWidth="1"/>
    <col min="15141" max="15141" width="17.85546875" style="38" customWidth="1"/>
    <col min="15142" max="15143" width="1" style="38" customWidth="1"/>
    <col min="15144" max="15173" width="0" style="38" hidden="1" customWidth="1"/>
    <col min="15174" max="15175" width="1" style="38" customWidth="1"/>
    <col min="15176" max="15176" width="14.42578125" style="38" customWidth="1"/>
    <col min="15177" max="15178" width="1" style="38" customWidth="1"/>
    <col min="15179" max="15179" width="2" style="38" customWidth="1"/>
    <col min="15180" max="15180" width="3.85546875" style="38" customWidth="1"/>
    <col min="15181" max="15181" width="15.7109375" style="38" customWidth="1"/>
    <col min="15182" max="15182" width="12.85546875" style="38" bestFit="1" customWidth="1"/>
    <col min="15183" max="15183" width="13.85546875" style="38" customWidth="1"/>
    <col min="15184" max="15184" width="12.85546875" style="38" bestFit="1" customWidth="1"/>
    <col min="15185" max="15290" width="10" style="38"/>
    <col min="15291" max="15292" width="0" style="38" hidden="1" customWidth="1"/>
    <col min="15293" max="15293" width="1" style="38" customWidth="1"/>
    <col min="15294" max="15294" width="56" style="38" customWidth="1"/>
    <col min="15295" max="15296" width="1" style="38" customWidth="1"/>
    <col min="15297" max="15297" width="14.42578125" style="38" customWidth="1"/>
    <col min="15298" max="15299" width="1" style="38" customWidth="1"/>
    <col min="15300" max="15324" width="0" style="38" hidden="1" customWidth="1"/>
    <col min="15325" max="15325" width="1" style="38" customWidth="1"/>
    <col min="15326" max="15326" width="1.140625" style="38" customWidth="1"/>
    <col min="15327" max="15327" width="17.85546875" style="38" customWidth="1"/>
    <col min="15328" max="15329" width="1" style="38" customWidth="1"/>
    <col min="15330" max="15359" width="0" style="38" hidden="1" customWidth="1"/>
    <col min="15360" max="15361" width="1" style="38" customWidth="1"/>
    <col min="15362" max="15362" width="14.42578125" style="38" customWidth="1"/>
    <col min="15363" max="15366" width="1" style="38" customWidth="1"/>
    <col min="15367" max="15367" width="14.42578125" style="38" customWidth="1"/>
    <col min="15368" max="15369" width="1" style="38" customWidth="1"/>
    <col min="15370" max="15394" width="0" style="38" hidden="1" customWidth="1"/>
    <col min="15395" max="15396" width="1" style="38" customWidth="1"/>
    <col min="15397" max="15397" width="17.85546875" style="38" customWidth="1"/>
    <col min="15398" max="15399" width="1" style="38" customWidth="1"/>
    <col min="15400" max="15429" width="0" style="38" hidden="1" customWidth="1"/>
    <col min="15430" max="15431" width="1" style="38" customWidth="1"/>
    <col min="15432" max="15432" width="14.42578125" style="38" customWidth="1"/>
    <col min="15433" max="15434" width="1" style="38" customWidth="1"/>
    <col min="15435" max="15435" width="2" style="38" customWidth="1"/>
    <col min="15436" max="15436" width="3.85546875" style="38" customWidth="1"/>
    <col min="15437" max="15437" width="15.7109375" style="38" customWidth="1"/>
    <col min="15438" max="15438" width="12.85546875" style="38" bestFit="1" customWidth="1"/>
    <col min="15439" max="15439" width="13.85546875" style="38" customWidth="1"/>
    <col min="15440" max="15440" width="12.85546875" style="38" bestFit="1" customWidth="1"/>
    <col min="15441" max="15546" width="10" style="38"/>
    <col min="15547" max="15548" width="0" style="38" hidden="1" customWidth="1"/>
    <col min="15549" max="15549" width="1" style="38" customWidth="1"/>
    <col min="15550" max="15550" width="56" style="38" customWidth="1"/>
    <col min="15551" max="15552" width="1" style="38" customWidth="1"/>
    <col min="15553" max="15553" width="14.42578125" style="38" customWidth="1"/>
    <col min="15554" max="15555" width="1" style="38" customWidth="1"/>
    <col min="15556" max="15580" width="0" style="38" hidden="1" customWidth="1"/>
    <col min="15581" max="15581" width="1" style="38" customWidth="1"/>
    <col min="15582" max="15582" width="1.140625" style="38" customWidth="1"/>
    <col min="15583" max="15583" width="17.85546875" style="38" customWidth="1"/>
    <col min="15584" max="15585" width="1" style="38" customWidth="1"/>
    <col min="15586" max="15615" width="0" style="38" hidden="1" customWidth="1"/>
    <col min="15616" max="15617" width="1" style="38" customWidth="1"/>
    <col min="15618" max="15618" width="14.42578125" style="38" customWidth="1"/>
    <col min="15619" max="15622" width="1" style="38" customWidth="1"/>
    <col min="15623" max="15623" width="14.42578125" style="38" customWidth="1"/>
    <col min="15624" max="15625" width="1" style="38" customWidth="1"/>
    <col min="15626" max="15650" width="0" style="38" hidden="1" customWidth="1"/>
    <col min="15651" max="15652" width="1" style="38" customWidth="1"/>
    <col min="15653" max="15653" width="17.85546875" style="38" customWidth="1"/>
    <col min="15654" max="15655" width="1" style="38" customWidth="1"/>
    <col min="15656" max="15685" width="0" style="38" hidden="1" customWidth="1"/>
    <col min="15686" max="15687" width="1" style="38" customWidth="1"/>
    <col min="15688" max="15688" width="14.42578125" style="38" customWidth="1"/>
    <col min="15689" max="15690" width="1" style="38" customWidth="1"/>
    <col min="15691" max="15691" width="2" style="38" customWidth="1"/>
    <col min="15692" max="15692" width="3.85546875" style="38" customWidth="1"/>
    <col min="15693" max="15693" width="15.7109375" style="38" customWidth="1"/>
    <col min="15694" max="15694" width="12.85546875" style="38" bestFit="1" customWidth="1"/>
    <col min="15695" max="15695" width="13.85546875" style="38" customWidth="1"/>
    <col min="15696" max="15696" width="12.85546875" style="38" bestFit="1" customWidth="1"/>
    <col min="15697" max="15802" width="10" style="38"/>
    <col min="15803" max="15804" width="0" style="38" hidden="1" customWidth="1"/>
    <col min="15805" max="15805" width="1" style="38" customWidth="1"/>
    <col min="15806" max="15806" width="56" style="38" customWidth="1"/>
    <col min="15807" max="15808" width="1" style="38" customWidth="1"/>
    <col min="15809" max="15809" width="14.42578125" style="38" customWidth="1"/>
    <col min="15810" max="15811" width="1" style="38" customWidth="1"/>
    <col min="15812" max="15836" width="0" style="38" hidden="1" customWidth="1"/>
    <col min="15837" max="15837" width="1" style="38" customWidth="1"/>
    <col min="15838" max="15838" width="1.140625" style="38" customWidth="1"/>
    <col min="15839" max="15839" width="17.85546875" style="38" customWidth="1"/>
    <col min="15840" max="15841" width="1" style="38" customWidth="1"/>
    <col min="15842" max="15871" width="0" style="38" hidden="1" customWidth="1"/>
    <col min="15872" max="15873" width="1" style="38" customWidth="1"/>
    <col min="15874" max="15874" width="14.42578125" style="38" customWidth="1"/>
    <col min="15875" max="15878" width="1" style="38" customWidth="1"/>
    <col min="15879" max="15879" width="14.42578125" style="38" customWidth="1"/>
    <col min="15880" max="15881" width="1" style="38" customWidth="1"/>
    <col min="15882" max="15906" width="0" style="38" hidden="1" customWidth="1"/>
    <col min="15907" max="15908" width="1" style="38" customWidth="1"/>
    <col min="15909" max="15909" width="17.85546875" style="38" customWidth="1"/>
    <col min="15910" max="15911" width="1" style="38" customWidth="1"/>
    <col min="15912" max="15941" width="0" style="38" hidden="1" customWidth="1"/>
    <col min="15942" max="15943" width="1" style="38" customWidth="1"/>
    <col min="15944" max="15944" width="14.42578125" style="38" customWidth="1"/>
    <col min="15945" max="15946" width="1" style="38" customWidth="1"/>
    <col min="15947" max="15947" width="2" style="38" customWidth="1"/>
    <col min="15948" max="15948" width="3.85546875" style="38" customWidth="1"/>
    <col min="15949" max="15949" width="15.7109375" style="38" customWidth="1"/>
    <col min="15950" max="15950" width="12.85546875" style="38" bestFit="1" customWidth="1"/>
    <col min="15951" max="15951" width="13.85546875" style="38" customWidth="1"/>
    <col min="15952" max="15952" width="12.85546875" style="38" bestFit="1" customWidth="1"/>
    <col min="15953" max="16058" width="10" style="38"/>
    <col min="16059" max="16060" width="0" style="38" hidden="1" customWidth="1"/>
    <col min="16061" max="16061" width="1" style="38" customWidth="1"/>
    <col min="16062" max="16062" width="56" style="38" customWidth="1"/>
    <col min="16063" max="16064" width="1" style="38" customWidth="1"/>
    <col min="16065" max="16065" width="14.42578125" style="38" customWidth="1"/>
    <col min="16066" max="16067" width="1" style="38" customWidth="1"/>
    <col min="16068" max="16092" width="0" style="38" hidden="1" customWidth="1"/>
    <col min="16093" max="16093" width="1" style="38" customWidth="1"/>
    <col min="16094" max="16094" width="1.140625" style="38" customWidth="1"/>
    <col min="16095" max="16095" width="17.85546875" style="38" customWidth="1"/>
    <col min="16096" max="16097" width="1" style="38" customWidth="1"/>
    <col min="16098" max="16127" width="0" style="38" hidden="1" customWidth="1"/>
    <col min="16128" max="16129" width="1" style="38" customWidth="1"/>
    <col min="16130" max="16130" width="14.42578125" style="38" customWidth="1"/>
    <col min="16131" max="16134" width="1" style="38" customWidth="1"/>
    <col min="16135" max="16135" width="14.42578125" style="38" customWidth="1"/>
    <col min="16136" max="16137" width="1" style="38" customWidth="1"/>
    <col min="16138" max="16162" width="0" style="38" hidden="1" customWidth="1"/>
    <col min="16163" max="16164" width="1" style="38" customWidth="1"/>
    <col min="16165" max="16165" width="17.85546875" style="38" customWidth="1"/>
    <col min="16166" max="16167" width="1" style="38" customWidth="1"/>
    <col min="16168" max="16197" width="0" style="38" hidden="1" customWidth="1"/>
    <col min="16198" max="16199" width="1" style="38" customWidth="1"/>
    <col min="16200" max="16200" width="14.42578125" style="38" customWidth="1"/>
    <col min="16201" max="16202" width="1" style="38" customWidth="1"/>
    <col min="16203" max="16203" width="2" style="38" customWidth="1"/>
    <col min="16204" max="16204" width="3.85546875" style="38" customWidth="1"/>
    <col min="16205" max="16205" width="15.7109375" style="38" customWidth="1"/>
    <col min="16206" max="16206" width="12.85546875" style="38" bestFit="1" customWidth="1"/>
    <col min="16207" max="16207" width="13.85546875" style="38" customWidth="1"/>
    <col min="16208" max="16208" width="12.85546875" style="38" bestFit="1" customWidth="1"/>
    <col min="16209" max="16384" width="10" style="38"/>
  </cols>
  <sheetData>
    <row r="1" spans="1:79" hidden="1" x14ac:dyDescent="0.2">
      <c r="B1" s="377"/>
      <c r="C1" s="377"/>
      <c r="D1" s="377"/>
      <c r="E1" s="377"/>
      <c r="F1" s="377"/>
      <c r="G1" s="377"/>
      <c r="H1" s="377"/>
      <c r="I1" s="377"/>
      <c r="J1" s="377"/>
      <c r="K1" s="377"/>
      <c r="L1" s="377"/>
      <c r="M1" s="377">
        <f>1770000000+11234076861+1105000000</f>
        <v>14109076861</v>
      </c>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row>
    <row r="2" spans="1:79" ht="5.25" hidden="1"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row>
    <row r="3" spans="1:79" hidden="1" x14ac:dyDescent="0.2">
      <c r="A3" s="377"/>
      <c r="B3" s="377"/>
      <c r="D3" s="377"/>
      <c r="E3" s="38"/>
      <c r="BW3" s="377"/>
    </row>
    <row r="4" spans="1:79" hidden="1" x14ac:dyDescent="0.2">
      <c r="A4" s="377"/>
      <c r="B4" s="377"/>
      <c r="D4" s="410"/>
      <c r="E4" s="410"/>
      <c r="F4" s="410"/>
      <c r="BW4" s="377"/>
    </row>
    <row r="5" spans="1:79" hidden="1" x14ac:dyDescent="0.2">
      <c r="A5" s="377"/>
      <c r="B5" s="377"/>
      <c r="E5" s="38"/>
      <c r="BW5" s="377"/>
    </row>
    <row r="6" spans="1:79" hidden="1" x14ac:dyDescent="0.2">
      <c r="A6" s="377"/>
      <c r="B6" s="377"/>
      <c r="E6" s="38">
        <v>0</v>
      </c>
      <c r="BW6" s="377"/>
    </row>
    <row r="7" spans="1:79" ht="15.75" x14ac:dyDescent="0.25">
      <c r="A7" s="377"/>
      <c r="B7" s="377"/>
      <c r="D7" s="447" t="s">
        <v>367</v>
      </c>
      <c r="E7" s="447">
        <v>0</v>
      </c>
      <c r="F7" s="447"/>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377"/>
    </row>
    <row r="8" spans="1:79" ht="15" customHeight="1" x14ac:dyDescent="0.2">
      <c r="A8" s="377"/>
      <c r="B8" s="377"/>
      <c r="D8" s="455"/>
      <c r="E8" s="514">
        <v>0</v>
      </c>
      <c r="F8" s="515"/>
      <c r="G8" s="712" t="str">
        <f>[18]summary!H8</f>
        <v>2020/21</v>
      </c>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c r="BR8" s="712"/>
      <c r="BS8" s="712"/>
      <c r="BT8" s="712"/>
      <c r="BU8" s="558"/>
      <c r="BV8" s="558"/>
      <c r="BW8" s="465"/>
    </row>
    <row r="9" spans="1:79" ht="18" customHeight="1" x14ac:dyDescent="0.2">
      <c r="A9" s="377"/>
      <c r="B9" s="377"/>
      <c r="D9" s="465"/>
      <c r="E9" s="417">
        <v>0</v>
      </c>
      <c r="F9" s="377"/>
      <c r="G9" s="137" t="str">
        <f>[18]summary!H9</f>
        <v>Revised</v>
      </c>
      <c r="H9" s="137"/>
      <c r="I9" s="137"/>
      <c r="J9" s="153"/>
      <c r="K9" s="137"/>
      <c r="L9" s="137" t="s">
        <v>6</v>
      </c>
      <c r="M9" s="137"/>
      <c r="N9" s="137"/>
      <c r="O9" s="153"/>
      <c r="P9" s="137"/>
      <c r="Q9" s="137" t="s">
        <v>7</v>
      </c>
      <c r="R9" s="137"/>
      <c r="S9" s="137"/>
      <c r="T9" s="153"/>
      <c r="U9" s="137"/>
      <c r="V9" s="137" t="s">
        <v>8</v>
      </c>
      <c r="W9" s="137"/>
      <c r="X9" s="137"/>
      <c r="Y9" s="153"/>
      <c r="Z9" s="137"/>
      <c r="AA9" s="137" t="s">
        <v>9</v>
      </c>
      <c r="AB9" s="137"/>
      <c r="AC9" s="137"/>
      <c r="AD9" s="153"/>
      <c r="AE9" s="137"/>
      <c r="AF9" s="137" t="s">
        <v>10</v>
      </c>
      <c r="AG9" s="137"/>
      <c r="AH9" s="137"/>
      <c r="AI9" s="153"/>
      <c r="AJ9" s="137"/>
      <c r="AK9" s="137" t="s">
        <v>11</v>
      </c>
      <c r="AL9" s="137"/>
      <c r="AM9" s="137"/>
      <c r="AN9" s="153"/>
      <c r="AO9" s="137"/>
      <c r="AP9" s="137" t="s">
        <v>12</v>
      </c>
      <c r="AQ9" s="137"/>
      <c r="AR9" s="137"/>
      <c r="AS9" s="153"/>
      <c r="AT9" s="137"/>
      <c r="AU9" s="137" t="s">
        <v>13</v>
      </c>
      <c r="AV9" s="137"/>
      <c r="AW9" s="137"/>
      <c r="AX9" s="153"/>
      <c r="AY9" s="137"/>
      <c r="AZ9" s="137" t="s">
        <v>14</v>
      </c>
      <c r="BA9" s="137"/>
      <c r="BB9" s="137"/>
      <c r="BC9" s="153"/>
      <c r="BD9" s="137"/>
      <c r="BE9" s="137" t="s">
        <v>15</v>
      </c>
      <c r="BF9" s="137"/>
      <c r="BG9" s="137"/>
      <c r="BH9" s="153"/>
      <c r="BI9" s="137"/>
      <c r="BJ9" s="137" t="s">
        <v>16</v>
      </c>
      <c r="BK9" s="137"/>
      <c r="BL9" s="137"/>
      <c r="BM9" s="153"/>
      <c r="BN9" s="137"/>
      <c r="BO9" s="137" t="s">
        <v>17</v>
      </c>
      <c r="BP9" s="137"/>
      <c r="BQ9" s="137"/>
      <c r="BR9" s="153"/>
      <c r="BS9" s="137"/>
      <c r="BT9" s="137" t="s">
        <v>18</v>
      </c>
      <c r="BU9" s="137"/>
      <c r="BV9" s="137"/>
      <c r="BW9" s="465"/>
    </row>
    <row r="10" spans="1:79" x14ac:dyDescent="0.2">
      <c r="A10" s="377"/>
      <c r="B10" s="377"/>
      <c r="D10" s="459" t="s">
        <v>20</v>
      </c>
      <c r="E10" s="516">
        <v>0</v>
      </c>
      <c r="F10" s="517"/>
      <c r="G10" s="208" t="s">
        <v>22</v>
      </c>
      <c r="H10" s="208"/>
      <c r="I10" s="208"/>
      <c r="J10" s="463"/>
      <c r="K10" s="208"/>
      <c r="L10" s="464"/>
      <c r="M10" s="464"/>
      <c r="N10" s="464"/>
      <c r="O10" s="461"/>
      <c r="P10" s="464"/>
      <c r="Q10" s="464"/>
      <c r="R10" s="464"/>
      <c r="S10" s="464"/>
      <c r="T10" s="461"/>
      <c r="U10" s="464"/>
      <c r="V10" s="464"/>
      <c r="W10" s="464"/>
      <c r="X10" s="464"/>
      <c r="Y10" s="461"/>
      <c r="Z10" s="464"/>
      <c r="AA10" s="464"/>
      <c r="AB10" s="464"/>
      <c r="AC10" s="464"/>
      <c r="AD10" s="461"/>
      <c r="AE10" s="464"/>
      <c r="AF10" s="464"/>
      <c r="AG10" s="464"/>
      <c r="AH10" s="464"/>
      <c r="AI10" s="461"/>
      <c r="AJ10" s="464"/>
      <c r="AK10" s="464"/>
      <c r="AL10" s="464"/>
      <c r="AM10" s="464"/>
      <c r="AN10" s="461"/>
      <c r="AO10" s="464"/>
      <c r="AP10" s="464"/>
      <c r="AQ10" s="464"/>
      <c r="AR10" s="464"/>
      <c r="AS10" s="461"/>
      <c r="AT10" s="464"/>
      <c r="AU10" s="464"/>
      <c r="AV10" s="464"/>
      <c r="AW10" s="464"/>
      <c r="AX10" s="461"/>
      <c r="AY10" s="464"/>
      <c r="AZ10" s="464"/>
      <c r="BA10" s="464"/>
      <c r="BB10" s="464"/>
      <c r="BC10" s="461"/>
      <c r="BD10" s="464"/>
      <c r="BE10" s="464"/>
      <c r="BF10" s="464"/>
      <c r="BG10" s="464"/>
      <c r="BH10" s="461"/>
      <c r="BI10" s="464"/>
      <c r="BJ10" s="464"/>
      <c r="BK10" s="464"/>
      <c r="BL10" s="464"/>
      <c r="BM10" s="461"/>
      <c r="BN10" s="464"/>
      <c r="BO10" s="464"/>
      <c r="BP10" s="464"/>
      <c r="BQ10" s="464"/>
      <c r="BR10" s="461"/>
      <c r="BS10" s="464"/>
      <c r="BT10" s="464"/>
      <c r="BU10" s="137"/>
      <c r="BV10" s="137"/>
      <c r="BW10" s="465"/>
    </row>
    <row r="11" spans="1:79" x14ac:dyDescent="0.2">
      <c r="A11" s="377"/>
      <c r="B11" s="377"/>
      <c r="D11" s="484"/>
      <c r="E11" s="539"/>
      <c r="F11" s="483"/>
      <c r="G11" s="483"/>
      <c r="H11" s="483"/>
      <c r="I11" s="483"/>
      <c r="J11" s="539"/>
      <c r="K11" s="483"/>
      <c r="L11" s="483"/>
      <c r="M11" s="483"/>
      <c r="N11" s="483"/>
      <c r="O11" s="539"/>
      <c r="P11" s="483"/>
      <c r="Q11" s="483"/>
      <c r="R11" s="483"/>
      <c r="S11" s="483"/>
      <c r="T11" s="539"/>
      <c r="U11" s="483"/>
      <c r="V11" s="483"/>
      <c r="W11" s="483"/>
      <c r="X11" s="483"/>
      <c r="Y11" s="539"/>
      <c r="Z11" s="483"/>
      <c r="AA11" s="483"/>
      <c r="AB11" s="483"/>
      <c r="AC11" s="483"/>
      <c r="AD11" s="539"/>
      <c r="AE11" s="483"/>
      <c r="AF11" s="483"/>
      <c r="AG11" s="483"/>
      <c r="AH11" s="483"/>
      <c r="AI11" s="539"/>
      <c r="AJ11" s="483"/>
      <c r="AK11" s="483"/>
      <c r="AL11" s="483"/>
      <c r="AM11" s="483"/>
      <c r="AN11" s="539"/>
      <c r="AO11" s="483"/>
      <c r="AP11" s="483"/>
      <c r="AQ11" s="483"/>
      <c r="AR11" s="483"/>
      <c r="AS11" s="539"/>
      <c r="AT11" s="483"/>
      <c r="AU11" s="483"/>
      <c r="AV11" s="483"/>
      <c r="AW11" s="483"/>
      <c r="AX11" s="539"/>
      <c r="AY11" s="483"/>
      <c r="AZ11" s="483"/>
      <c r="BA11" s="483"/>
      <c r="BB11" s="483"/>
      <c r="BC11" s="539"/>
      <c r="BD11" s="483"/>
      <c r="BE11" s="483"/>
      <c r="BF11" s="483"/>
      <c r="BG11" s="483"/>
      <c r="BH11" s="539"/>
      <c r="BI11" s="483"/>
      <c r="BJ11" s="483"/>
      <c r="BK11" s="483"/>
      <c r="BL11" s="378"/>
      <c r="BM11" s="539"/>
      <c r="BN11" s="483"/>
      <c r="BO11" s="483"/>
      <c r="BP11" s="483"/>
      <c r="BQ11" s="483"/>
      <c r="BR11" s="539"/>
      <c r="BS11" s="378"/>
      <c r="BT11" s="466"/>
      <c r="BU11" s="466"/>
      <c r="BV11" s="466"/>
      <c r="BW11" s="465"/>
    </row>
    <row r="12" spans="1:79" s="410" customFormat="1" x14ac:dyDescent="0.2">
      <c r="A12" s="411"/>
      <c r="B12" s="411"/>
      <c r="D12" s="455" t="s">
        <v>368</v>
      </c>
      <c r="E12" s="485"/>
      <c r="F12" s="411"/>
      <c r="G12" s="559">
        <f>SUM(G13:G16)</f>
        <v>496423000</v>
      </c>
      <c r="H12" s="486"/>
      <c r="I12" s="486"/>
      <c r="J12" s="487"/>
      <c r="K12" s="486"/>
      <c r="L12" s="486">
        <f>SUM(L13:L16)</f>
        <v>38837955</v>
      </c>
      <c r="M12" s="486"/>
      <c r="N12" s="486"/>
      <c r="O12" s="487"/>
      <c r="P12" s="486"/>
      <c r="Q12" s="486">
        <f>SUM(Q13:Q16)</f>
        <v>45060969.743999995</v>
      </c>
      <c r="R12" s="486"/>
      <c r="S12" s="486"/>
      <c r="T12" s="487"/>
      <c r="U12" s="486"/>
      <c r="V12" s="486">
        <f>SUM(V13:V16)</f>
        <v>49629337</v>
      </c>
      <c r="W12" s="486"/>
      <c r="X12" s="486"/>
      <c r="Y12" s="487"/>
      <c r="Z12" s="486"/>
      <c r="AA12" s="486">
        <f>SUM(AA13:AA16)</f>
        <v>69933031</v>
      </c>
      <c r="AB12" s="486"/>
      <c r="AC12" s="486"/>
      <c r="AD12" s="487"/>
      <c r="AE12" s="486"/>
      <c r="AF12" s="486">
        <f>SUM(AF13:AF16)</f>
        <v>44360549</v>
      </c>
      <c r="AG12" s="486"/>
      <c r="AH12" s="486"/>
      <c r="AI12" s="487"/>
      <c r="AJ12" s="486"/>
      <c r="AK12" s="486">
        <f>SUM(AK13:AK16)</f>
        <v>61505395</v>
      </c>
      <c r="AL12" s="486"/>
      <c r="AM12" s="486"/>
      <c r="AN12" s="487"/>
      <c r="AO12" s="486"/>
      <c r="AP12" s="486">
        <f>SUM(AP13:AP16)</f>
        <v>0</v>
      </c>
      <c r="AQ12" s="486"/>
      <c r="AR12" s="486"/>
      <c r="AS12" s="487"/>
      <c r="AT12" s="486"/>
      <c r="AU12" s="486">
        <f>SUM(AU13:AU16)</f>
        <v>0</v>
      </c>
      <c r="AV12" s="486"/>
      <c r="AW12" s="486"/>
      <c r="AX12" s="487"/>
      <c r="AY12" s="486"/>
      <c r="AZ12" s="486">
        <f>SUM(AZ13:AZ16)</f>
        <v>0</v>
      </c>
      <c r="BA12" s="486"/>
      <c r="BB12" s="486"/>
      <c r="BC12" s="487"/>
      <c r="BD12" s="486"/>
      <c r="BE12" s="486">
        <f>SUM(BE13:BE16)</f>
        <v>0</v>
      </c>
      <c r="BF12" s="486"/>
      <c r="BG12" s="486"/>
      <c r="BH12" s="487"/>
      <c r="BI12" s="486"/>
      <c r="BJ12" s="486">
        <f>SUM(BJ13:BJ16)</f>
        <v>0</v>
      </c>
      <c r="BK12" s="486"/>
      <c r="BL12" s="486"/>
      <c r="BM12" s="487"/>
      <c r="BN12" s="486"/>
      <c r="BO12" s="486">
        <f>SUM(BO13:BO16)</f>
        <v>0</v>
      </c>
      <c r="BP12" s="486"/>
      <c r="BQ12" s="486"/>
      <c r="BR12" s="487"/>
      <c r="BS12" s="486"/>
      <c r="BT12" s="486">
        <f>SUM(BT13:BT16)</f>
        <v>309327236.74399996</v>
      </c>
      <c r="BU12" s="486"/>
      <c r="BV12" s="486"/>
      <c r="BW12" s="455"/>
    </row>
    <row r="13" spans="1:79" x14ac:dyDescent="0.2">
      <c r="A13" s="377"/>
      <c r="B13" s="377"/>
      <c r="D13" s="465" t="s">
        <v>369</v>
      </c>
      <c r="F13" s="469"/>
      <c r="G13" s="560">
        <f>+G18</f>
        <v>496423000</v>
      </c>
      <c r="H13" s="540"/>
      <c r="I13" s="378"/>
      <c r="J13" s="482"/>
      <c r="K13" s="539"/>
      <c r="L13" s="483">
        <f>+L18</f>
        <v>38350619</v>
      </c>
      <c r="M13" s="540"/>
      <c r="N13" s="378"/>
      <c r="O13" s="482"/>
      <c r="P13" s="539"/>
      <c r="Q13" s="483">
        <f>+Q18</f>
        <v>45031287.743999995</v>
      </c>
      <c r="R13" s="540"/>
      <c r="S13" s="378"/>
      <c r="T13" s="482"/>
      <c r="U13" s="539"/>
      <c r="V13" s="483">
        <f>+V18</f>
        <v>49600848</v>
      </c>
      <c r="W13" s="540"/>
      <c r="X13" s="378"/>
      <c r="Y13" s="482"/>
      <c r="Z13" s="539"/>
      <c r="AA13" s="483">
        <f>+AA18</f>
        <v>69933031</v>
      </c>
      <c r="AB13" s="540"/>
      <c r="AC13" s="378"/>
      <c r="AD13" s="482"/>
      <c r="AE13" s="539"/>
      <c r="AF13" s="483">
        <f>+AF18</f>
        <v>44319358</v>
      </c>
      <c r="AG13" s="540"/>
      <c r="AH13" s="378"/>
      <c r="AI13" s="482"/>
      <c r="AJ13" s="539"/>
      <c r="AK13" s="483">
        <f>+AK18</f>
        <v>61486843</v>
      </c>
      <c r="AL13" s="540"/>
      <c r="AM13" s="378"/>
      <c r="AN13" s="482"/>
      <c r="AO13" s="539"/>
      <c r="AP13" s="483">
        <f>+AP18</f>
        <v>0</v>
      </c>
      <c r="AQ13" s="540"/>
      <c r="AR13" s="378"/>
      <c r="AS13" s="482"/>
      <c r="AT13" s="539"/>
      <c r="AU13" s="483">
        <f>+AU18</f>
        <v>0</v>
      </c>
      <c r="AV13" s="540"/>
      <c r="AW13" s="378"/>
      <c r="AX13" s="482"/>
      <c r="AY13" s="539"/>
      <c r="AZ13" s="483">
        <f>+AZ18</f>
        <v>0</v>
      </c>
      <c r="BA13" s="540"/>
      <c r="BB13" s="378"/>
      <c r="BC13" s="482"/>
      <c r="BD13" s="539"/>
      <c r="BE13" s="483">
        <f>+BE18</f>
        <v>0</v>
      </c>
      <c r="BF13" s="540"/>
      <c r="BG13" s="378"/>
      <c r="BH13" s="482"/>
      <c r="BI13" s="539"/>
      <c r="BJ13" s="483">
        <f>+BJ18</f>
        <v>0</v>
      </c>
      <c r="BK13" s="540"/>
      <c r="BL13" s="378"/>
      <c r="BM13" s="482"/>
      <c r="BN13" s="539"/>
      <c r="BO13" s="483">
        <f>+BO18</f>
        <v>0</v>
      </c>
      <c r="BP13" s="540"/>
      <c r="BQ13" s="378"/>
      <c r="BR13" s="482"/>
      <c r="BS13" s="539"/>
      <c r="BT13" s="483">
        <f>+BT18</f>
        <v>308721986.74399996</v>
      </c>
      <c r="BU13" s="540"/>
      <c r="BV13" s="378"/>
      <c r="BW13" s="465"/>
      <c r="BZ13" s="410"/>
      <c r="CA13" s="410"/>
    </row>
    <row r="14" spans="1:79" x14ac:dyDescent="0.2">
      <c r="A14" s="377"/>
      <c r="B14" s="377"/>
      <c r="D14" s="465" t="s">
        <v>370</v>
      </c>
      <c r="F14" s="417"/>
      <c r="G14" s="545">
        <f>G215</f>
        <v>0</v>
      </c>
      <c r="H14" s="541"/>
      <c r="I14" s="378"/>
      <c r="J14" s="482"/>
      <c r="K14" s="482"/>
      <c r="L14" s="378">
        <f>L215</f>
        <v>0</v>
      </c>
      <c r="M14" s="541"/>
      <c r="N14" s="378"/>
      <c r="O14" s="482"/>
      <c r="P14" s="482"/>
      <c r="Q14" s="378">
        <f>Q215</f>
        <v>0</v>
      </c>
      <c r="R14" s="541"/>
      <c r="S14" s="378"/>
      <c r="T14" s="482"/>
      <c r="U14" s="482"/>
      <c r="V14" s="378">
        <f>V215</f>
        <v>0</v>
      </c>
      <c r="W14" s="541"/>
      <c r="X14" s="378"/>
      <c r="Y14" s="482"/>
      <c r="Z14" s="482"/>
      <c r="AA14" s="378">
        <f>AA215</f>
        <v>0</v>
      </c>
      <c r="AB14" s="541"/>
      <c r="AC14" s="378"/>
      <c r="AD14" s="482"/>
      <c r="AE14" s="482"/>
      <c r="AF14" s="378">
        <f>AF215</f>
        <v>0</v>
      </c>
      <c r="AG14" s="541"/>
      <c r="AH14" s="378"/>
      <c r="AI14" s="482"/>
      <c r="AJ14" s="482"/>
      <c r="AK14" s="378">
        <f>AK215</f>
        <v>0</v>
      </c>
      <c r="AL14" s="541"/>
      <c r="AM14" s="378"/>
      <c r="AN14" s="482"/>
      <c r="AO14" s="482"/>
      <c r="AP14" s="378">
        <f>AP215</f>
        <v>0</v>
      </c>
      <c r="AQ14" s="541"/>
      <c r="AR14" s="378"/>
      <c r="AS14" s="482"/>
      <c r="AT14" s="482"/>
      <c r="AU14" s="378">
        <f>AU215</f>
        <v>0</v>
      </c>
      <c r="AV14" s="541"/>
      <c r="AW14" s="378"/>
      <c r="AX14" s="482"/>
      <c r="AY14" s="482"/>
      <c r="AZ14" s="378">
        <f>AZ215</f>
        <v>0</v>
      </c>
      <c r="BA14" s="541"/>
      <c r="BB14" s="378"/>
      <c r="BC14" s="482"/>
      <c r="BD14" s="482"/>
      <c r="BE14" s="378">
        <f>BE215</f>
        <v>0</v>
      </c>
      <c r="BF14" s="541"/>
      <c r="BH14" s="482"/>
      <c r="BI14" s="482"/>
      <c r="BJ14" s="378">
        <f>BJ215</f>
        <v>0</v>
      </c>
      <c r="BK14" s="541"/>
      <c r="BL14" s="378"/>
      <c r="BM14" s="482"/>
      <c r="BN14" s="482"/>
      <c r="BO14" s="378">
        <f>BO215</f>
        <v>0</v>
      </c>
      <c r="BP14" s="541"/>
      <c r="BQ14" s="378"/>
      <c r="BR14" s="482"/>
      <c r="BS14" s="482"/>
      <c r="BT14" s="378">
        <f>BT215</f>
        <v>0</v>
      </c>
      <c r="BU14" s="541"/>
      <c r="BV14" s="378"/>
      <c r="BW14" s="465"/>
      <c r="BZ14" s="410"/>
      <c r="CA14" s="410"/>
    </row>
    <row r="15" spans="1:79" x14ac:dyDescent="0.2">
      <c r="A15" s="377"/>
      <c r="B15" s="377"/>
      <c r="D15" s="465" t="s">
        <v>371</v>
      </c>
      <c r="F15" s="478"/>
      <c r="G15" s="561">
        <f>G285</f>
        <v>0</v>
      </c>
      <c r="H15" s="544"/>
      <c r="I15" s="378"/>
      <c r="J15" s="482"/>
      <c r="K15" s="542"/>
      <c r="L15" s="543">
        <f>L285</f>
        <v>487336</v>
      </c>
      <c r="M15" s="544"/>
      <c r="N15" s="378"/>
      <c r="O15" s="482"/>
      <c r="P15" s="542"/>
      <c r="Q15" s="543">
        <f>Q285</f>
        <v>29682</v>
      </c>
      <c r="R15" s="544"/>
      <c r="S15" s="378"/>
      <c r="T15" s="482"/>
      <c r="U15" s="542"/>
      <c r="V15" s="543">
        <f>V285</f>
        <v>28489</v>
      </c>
      <c r="W15" s="544"/>
      <c r="X15" s="378"/>
      <c r="Y15" s="482"/>
      <c r="Z15" s="542"/>
      <c r="AA15" s="543">
        <f>AA285</f>
        <v>0</v>
      </c>
      <c r="AB15" s="544"/>
      <c r="AC15" s="378"/>
      <c r="AD15" s="482"/>
      <c r="AE15" s="542"/>
      <c r="AF15" s="543">
        <f>AF285</f>
        <v>41191</v>
      </c>
      <c r="AG15" s="544"/>
      <c r="AH15" s="378"/>
      <c r="AI15" s="482"/>
      <c r="AJ15" s="542"/>
      <c r="AK15" s="543">
        <f>AK285</f>
        <v>18552</v>
      </c>
      <c r="AL15" s="544"/>
      <c r="AM15" s="378"/>
      <c r="AN15" s="482"/>
      <c r="AO15" s="542"/>
      <c r="AP15" s="543">
        <f>AP285</f>
        <v>0</v>
      </c>
      <c r="AQ15" s="544"/>
      <c r="AR15" s="378"/>
      <c r="AS15" s="482"/>
      <c r="AT15" s="542"/>
      <c r="AU15" s="543">
        <f>AU285</f>
        <v>0</v>
      </c>
      <c r="AV15" s="544"/>
      <c r="AW15" s="378"/>
      <c r="AX15" s="482"/>
      <c r="AY15" s="542"/>
      <c r="AZ15" s="543">
        <f>AZ285</f>
        <v>0</v>
      </c>
      <c r="BA15" s="544"/>
      <c r="BB15" s="378"/>
      <c r="BC15" s="482"/>
      <c r="BD15" s="542"/>
      <c r="BE15" s="543">
        <f>BE285</f>
        <v>0</v>
      </c>
      <c r="BF15" s="544"/>
      <c r="BG15" s="378"/>
      <c r="BH15" s="482"/>
      <c r="BI15" s="542"/>
      <c r="BJ15" s="543">
        <f>BJ285</f>
        <v>0</v>
      </c>
      <c r="BK15" s="544"/>
      <c r="BL15" s="378"/>
      <c r="BM15" s="482"/>
      <c r="BN15" s="542"/>
      <c r="BO15" s="543">
        <f>BO285</f>
        <v>0</v>
      </c>
      <c r="BP15" s="544"/>
      <c r="BQ15" s="378"/>
      <c r="BR15" s="482"/>
      <c r="BS15" s="542"/>
      <c r="BT15" s="543">
        <f>BT285</f>
        <v>605250</v>
      </c>
      <c r="BU15" s="544"/>
      <c r="BV15" s="378"/>
      <c r="BW15" s="465"/>
      <c r="BZ15" s="410"/>
      <c r="CA15" s="410"/>
    </row>
    <row r="16" spans="1:79" ht="12.75" hidden="1" customHeight="1" x14ac:dyDescent="0.2">
      <c r="A16" s="377"/>
      <c r="B16" s="377"/>
      <c r="D16" s="562" t="s">
        <v>372</v>
      </c>
      <c r="E16" s="563"/>
      <c r="F16" s="564"/>
      <c r="G16" s="561">
        <v>0</v>
      </c>
      <c r="H16" s="544"/>
      <c r="I16" s="378"/>
      <c r="J16" s="482"/>
      <c r="K16" s="542"/>
      <c r="L16" s="543">
        <f>L315</f>
        <v>0</v>
      </c>
      <c r="M16" s="544"/>
      <c r="N16" s="378"/>
      <c r="O16" s="482"/>
      <c r="P16" s="542"/>
      <c r="Q16" s="543">
        <f>Q315</f>
        <v>0</v>
      </c>
      <c r="R16" s="544"/>
      <c r="S16" s="378"/>
      <c r="T16" s="482"/>
      <c r="U16" s="542"/>
      <c r="V16" s="543">
        <f>V315</f>
        <v>0</v>
      </c>
      <c r="W16" s="544"/>
      <c r="X16" s="378"/>
      <c r="Y16" s="482"/>
      <c r="Z16" s="542"/>
      <c r="AA16" s="543">
        <f>AA315</f>
        <v>0</v>
      </c>
      <c r="AB16" s="544"/>
      <c r="AC16" s="378"/>
      <c r="AD16" s="482"/>
      <c r="AE16" s="542"/>
      <c r="AF16" s="543">
        <v>0</v>
      </c>
      <c r="AG16" s="544"/>
      <c r="AH16" s="378"/>
      <c r="AI16" s="482"/>
      <c r="AJ16" s="542"/>
      <c r="AK16" s="543">
        <v>0</v>
      </c>
      <c r="AL16" s="544"/>
      <c r="AM16" s="378"/>
      <c r="AN16" s="482"/>
      <c r="AO16" s="542"/>
      <c r="AP16" s="543">
        <f>AP315</f>
        <v>0</v>
      </c>
      <c r="AQ16" s="544"/>
      <c r="AR16" s="378"/>
      <c r="AS16" s="482"/>
      <c r="AT16" s="542"/>
      <c r="AU16" s="543">
        <f>AU315</f>
        <v>0</v>
      </c>
      <c r="AV16" s="544"/>
      <c r="AW16" s="378"/>
      <c r="AX16" s="482"/>
      <c r="AY16" s="542"/>
      <c r="AZ16" s="543">
        <f>AZ315</f>
        <v>0</v>
      </c>
      <c r="BA16" s="544"/>
      <c r="BB16" s="378"/>
      <c r="BC16" s="482"/>
      <c r="BD16" s="542"/>
      <c r="BE16" s="543">
        <f>BE315</f>
        <v>0</v>
      </c>
      <c r="BF16" s="544"/>
      <c r="BG16" s="378"/>
      <c r="BH16" s="482"/>
      <c r="BI16" s="542"/>
      <c r="BJ16" s="543">
        <f>BJ315</f>
        <v>0</v>
      </c>
      <c r="BK16" s="544"/>
      <c r="BL16" s="378"/>
      <c r="BM16" s="482"/>
      <c r="BN16" s="542"/>
      <c r="BO16" s="543">
        <f>BO315</f>
        <v>0</v>
      </c>
      <c r="BP16" s="544"/>
      <c r="BQ16" s="378"/>
      <c r="BR16" s="482"/>
      <c r="BS16" s="542"/>
      <c r="BT16" s="543">
        <v>0</v>
      </c>
      <c r="BU16" s="544"/>
      <c r="BV16" s="378"/>
      <c r="BW16" s="465"/>
      <c r="BZ16" s="410"/>
      <c r="CA16" s="410"/>
    </row>
    <row r="17" spans="1:80" x14ac:dyDescent="0.2">
      <c r="A17" s="377"/>
      <c r="B17" s="377"/>
      <c r="D17" s="465"/>
      <c r="F17" s="377"/>
      <c r="G17" s="545"/>
      <c r="H17" s="378"/>
      <c r="I17" s="378"/>
      <c r="J17" s="482"/>
      <c r="K17" s="378"/>
      <c r="L17" s="378"/>
      <c r="M17" s="378"/>
      <c r="N17" s="378"/>
      <c r="O17" s="482"/>
      <c r="P17" s="378"/>
      <c r="Q17" s="378"/>
      <c r="R17" s="378"/>
      <c r="S17" s="378"/>
      <c r="T17" s="482"/>
      <c r="U17" s="378"/>
      <c r="V17" s="378"/>
      <c r="W17" s="378"/>
      <c r="X17" s="378"/>
      <c r="Y17" s="482"/>
      <c r="Z17" s="378"/>
      <c r="AA17" s="378"/>
      <c r="AB17" s="378"/>
      <c r="AC17" s="378"/>
      <c r="AD17" s="482"/>
      <c r="AE17" s="378"/>
      <c r="AF17" s="378"/>
      <c r="AG17" s="378"/>
      <c r="AH17" s="378"/>
      <c r="AI17" s="482"/>
      <c r="AJ17" s="378"/>
      <c r="AK17" s="378"/>
      <c r="AL17" s="378"/>
      <c r="AM17" s="378"/>
      <c r="AN17" s="482"/>
      <c r="AO17" s="378"/>
      <c r="AP17" s="378"/>
      <c r="AQ17" s="378"/>
      <c r="AR17" s="378"/>
      <c r="AS17" s="482"/>
      <c r="AT17" s="378"/>
      <c r="AU17" s="378"/>
      <c r="AV17" s="378"/>
      <c r="AW17" s="378"/>
      <c r="AX17" s="482"/>
      <c r="AY17" s="378"/>
      <c r="AZ17" s="378"/>
      <c r="BA17" s="378"/>
      <c r="BB17" s="378"/>
      <c r="BC17" s="482"/>
      <c r="BD17" s="378"/>
      <c r="BE17" s="378"/>
      <c r="BF17" s="378"/>
      <c r="BG17" s="378"/>
      <c r="BH17" s="482"/>
      <c r="BI17" s="378"/>
      <c r="BJ17" s="378"/>
      <c r="BK17" s="378"/>
      <c r="BL17" s="378"/>
      <c r="BM17" s="482"/>
      <c r="BN17" s="378"/>
      <c r="BO17" s="378"/>
      <c r="BP17" s="378"/>
      <c r="BQ17" s="378"/>
      <c r="BR17" s="482"/>
      <c r="BS17" s="378"/>
      <c r="BT17" s="378"/>
      <c r="BU17" s="378"/>
      <c r="BV17" s="378"/>
      <c r="BW17" s="465"/>
      <c r="BZ17" s="410"/>
      <c r="CA17" s="410"/>
    </row>
    <row r="18" spans="1:80" s="410" customFormat="1" x14ac:dyDescent="0.2">
      <c r="A18" s="411"/>
      <c r="B18" s="411"/>
      <c r="D18" s="455" t="s">
        <v>373</v>
      </c>
      <c r="E18" s="485"/>
      <c r="F18" s="411"/>
      <c r="G18" s="42">
        <f>SUM(G19:G22)</f>
        <v>496423000</v>
      </c>
      <c r="H18" s="42"/>
      <c r="I18" s="42"/>
      <c r="J18" s="523"/>
      <c r="K18" s="42"/>
      <c r="L18" s="42">
        <f>SUM(L19:L22)</f>
        <v>38350619</v>
      </c>
      <c r="M18" s="42"/>
      <c r="N18" s="42"/>
      <c r="O18" s="523"/>
      <c r="P18" s="42"/>
      <c r="Q18" s="42">
        <f>SUM(Q19:Q22)</f>
        <v>45031287.743999995</v>
      </c>
      <c r="R18" s="42"/>
      <c r="S18" s="42"/>
      <c r="T18" s="523"/>
      <c r="U18" s="42"/>
      <c r="V18" s="42">
        <f>SUM(V19:V22)</f>
        <v>49600848</v>
      </c>
      <c r="W18" s="42"/>
      <c r="X18" s="42"/>
      <c r="Y18" s="523"/>
      <c r="Z18" s="42"/>
      <c r="AA18" s="42">
        <f>SUM(AA19:AA22)</f>
        <v>69933031</v>
      </c>
      <c r="AB18" s="42"/>
      <c r="AC18" s="42"/>
      <c r="AD18" s="523"/>
      <c r="AE18" s="42"/>
      <c r="AF18" s="42">
        <f>SUM(AF19:AF22)</f>
        <v>44319358</v>
      </c>
      <c r="AG18" s="42"/>
      <c r="AH18" s="42"/>
      <c r="AI18" s="523"/>
      <c r="AJ18" s="42"/>
      <c r="AK18" s="42">
        <f>SUM(AK19:AK22)</f>
        <v>61486843</v>
      </c>
      <c r="AL18" s="42"/>
      <c r="AM18" s="42"/>
      <c r="AN18" s="523"/>
      <c r="AO18" s="42"/>
      <c r="AP18" s="42">
        <f>SUM(AP19:AP22)</f>
        <v>0</v>
      </c>
      <c r="AQ18" s="42"/>
      <c r="AR18" s="42"/>
      <c r="AS18" s="523"/>
      <c r="AT18" s="42"/>
      <c r="AU18" s="42">
        <f>SUM(AU19:AU22)</f>
        <v>0</v>
      </c>
      <c r="AV18" s="42"/>
      <c r="AW18" s="42"/>
      <c r="AX18" s="523"/>
      <c r="AY18" s="42"/>
      <c r="AZ18" s="42">
        <f>SUM(AZ19:AZ22)</f>
        <v>0</v>
      </c>
      <c r="BA18" s="42"/>
      <c r="BB18" s="42"/>
      <c r="BC18" s="523"/>
      <c r="BD18" s="42"/>
      <c r="BE18" s="42">
        <f>SUM(BE19:BE22)</f>
        <v>0</v>
      </c>
      <c r="BF18" s="42"/>
      <c r="BG18" s="42"/>
      <c r="BH18" s="523"/>
      <c r="BI18" s="42"/>
      <c r="BJ18" s="42">
        <f>SUM(BJ19:BJ22)</f>
        <v>0</v>
      </c>
      <c r="BK18" s="42"/>
      <c r="BL18" s="42"/>
      <c r="BM18" s="523"/>
      <c r="BN18" s="42"/>
      <c r="BO18" s="42">
        <f>SUM(BO19:BO22)</f>
        <v>0</v>
      </c>
      <c r="BP18" s="42"/>
      <c r="BQ18" s="42"/>
      <c r="BR18" s="523"/>
      <c r="BS18" s="42"/>
      <c r="BT18" s="42">
        <f>SUM(BT19:BT22)</f>
        <v>308721986.74399996</v>
      </c>
      <c r="BU18" s="42"/>
      <c r="BV18" s="42"/>
      <c r="BW18" s="455"/>
      <c r="CB18" s="565"/>
    </row>
    <row r="19" spans="1:80" x14ac:dyDescent="0.2">
      <c r="A19" s="377"/>
      <c r="B19" s="377"/>
      <c r="D19" s="465" t="s">
        <v>374</v>
      </c>
      <c r="F19" s="469"/>
      <c r="G19" s="520">
        <v>462500000</v>
      </c>
      <c r="H19" s="521"/>
      <c r="I19" s="53"/>
      <c r="J19" s="518"/>
      <c r="K19" s="519"/>
      <c r="L19" s="520">
        <f>+L25+L58+L63+L68+L74+L80+L85+L91+L96+L101+L106+L111+L116+L121+L126+L132+L138+L144+L149+L192+L206+L154+L179+L28+L34+L52+L40+L159+L164+L169+L174+L46</f>
        <v>32408976</v>
      </c>
      <c r="M19" s="521"/>
      <c r="N19" s="53"/>
      <c r="O19" s="518"/>
      <c r="P19" s="519"/>
      <c r="Q19" s="520">
        <f>+Q25+Q58+Q63+Q68+Q74+Q80+Q85+Q91+Q96+Q101+Q106+Q111+Q116+Q121+Q126+Q132+Q138+Q144+Q149+Q192+Q206+Q154+Q179+Q28+Q34+Q52+Q40+Q159+Q164+Q169+Q174+Q46</f>
        <v>40737984.292999998</v>
      </c>
      <c r="R19" s="521"/>
      <c r="S19" s="53"/>
      <c r="T19" s="518"/>
      <c r="U19" s="519"/>
      <c r="V19" s="520">
        <f>+V25+V58+V63+V68+V74+V80+V85+V91+V96+V101+V106+V111+V116+V121+V126+V132+V138+V144+V149+V192+V206+V154+V179+V28+V34+V52+V40+V159+V164+V169+V174+V46</f>
        <v>41826856</v>
      </c>
      <c r="W19" s="521"/>
      <c r="X19" s="53"/>
      <c r="Y19" s="518"/>
      <c r="Z19" s="519"/>
      <c r="AA19" s="520">
        <f>+AA25+AA58+AA63+AA68+AA74+AA80+AA85+AA91+AA96+AA101+AA106+AA111+AA116+AA121+AA126+AA132+AA138+AA144+AA149+AA192+AA206+AA154+AA179+AA28+AA34+AA52+AA40+AA159+AA164+AA169+AA174+AA46</f>
        <v>59773525</v>
      </c>
      <c r="AB19" s="521"/>
      <c r="AC19" s="53"/>
      <c r="AD19" s="518"/>
      <c r="AE19" s="519"/>
      <c r="AF19" s="520">
        <f>+AF25+AF58+AF63+AF68+AF74+AF80+AF85+AF91+AF96+AF101+AF106+AF111+AF116+AF121+AF126+AF132+AF138+AF144+AF149+AF192+AF206+AF154+AF179+AF28+AF34+AF52+AF40+AF159+AF164+AF169+AF174+AF46</f>
        <v>35573638</v>
      </c>
      <c r="AG19" s="521"/>
      <c r="AH19" s="53"/>
      <c r="AI19" s="518"/>
      <c r="AJ19" s="519"/>
      <c r="AK19" s="520">
        <f>+AK25+AK58+AK63+AK68+AK74+AK80+AK85+AK91+AK96+AK101+AK106+AK111+AK116+AK121+AK126+AK132+AK138+AK144+AK149+AK192+AK206+AK154+AK179+AK28+AK34+AK52+AK40+AK159+AK164+AK169+AK174+AK46</f>
        <v>47078533</v>
      </c>
      <c r="AL19" s="521"/>
      <c r="AM19" s="53"/>
      <c r="AN19" s="518"/>
      <c r="AO19" s="519"/>
      <c r="AP19" s="520">
        <f>+AP25+AP58+AP63+AP68+AP74+AP80+AP85+AP91+AP96+AP101+AP106+AP111+AP116+AP121+AP126+AP132+AP138+AP144+AP149+AP192+AP206+AP154+AP179+AP28+AP34+AP52+AP40+AP159+AP164+AP169+AP174+AP46</f>
        <v>0</v>
      </c>
      <c r="AQ19" s="521"/>
      <c r="AR19" s="53"/>
      <c r="AS19" s="518"/>
      <c r="AT19" s="519"/>
      <c r="AU19" s="520">
        <f>+AU25+AU58+AU63+AU68+AU74+AU80+AU85+AU91+AU96+AU101+AU106+AU111+AU116+AU121+AU126+AU132+AU138+AU144+AU149+AU192+AU206+AU154+AU179+AU28+AU34+AU52+AU40+AU159+AU164+AU169+AU174+AU46</f>
        <v>0</v>
      </c>
      <c r="AV19" s="521"/>
      <c r="AW19" s="53"/>
      <c r="AX19" s="518"/>
      <c r="AY19" s="519"/>
      <c r="AZ19" s="520">
        <f>+AZ25+AZ58+AZ63+AZ68+AZ74+AZ80+AZ85+AZ91+AZ96+AZ101+AZ106+AZ111+AZ116+AZ121+AZ126+AZ132+AZ138+AZ144+AZ149+AZ192+AZ206+AZ154+AZ179+AZ28+AZ34+AZ52+AZ40+AZ159+AZ164+AZ169+AZ174+AZ46</f>
        <v>0</v>
      </c>
      <c r="BA19" s="521"/>
      <c r="BB19" s="53"/>
      <c r="BC19" s="518"/>
      <c r="BD19" s="519"/>
      <c r="BE19" s="520">
        <f>+BE25+BE58+BE63+BE68+BE74+BE80+BE85+BE91+BE96+BE101+BE106+BE111+BE116+BE121+BE126+BE132+BE138+BE144+BE149+BE192+BE206+BE154+BE179+BE28+BE34+BE52+BE40+BE159+BE164+BE169+BE174+BE46</f>
        <v>0</v>
      </c>
      <c r="BF19" s="521"/>
      <c r="BG19" s="53"/>
      <c r="BH19" s="518"/>
      <c r="BI19" s="519"/>
      <c r="BJ19" s="520">
        <f>+BJ25+BJ58+BJ63+BJ68+BJ74+BJ80+BJ85+BJ91+BJ96+BJ101+BJ106+BJ111+BJ116+BJ121+BJ126+BJ132+BJ138+BJ144+BJ149+BJ192+BJ206+BJ154+BJ179+BJ28+BJ34+BJ52+BJ40+BJ159+BJ164+BJ169+BJ174+BJ46</f>
        <v>0</v>
      </c>
      <c r="BK19" s="521"/>
      <c r="BL19" s="53"/>
      <c r="BM19" s="518"/>
      <c r="BN19" s="519"/>
      <c r="BO19" s="520">
        <f>+BO25+BO58+BO63+BO68+BO74+BO80+BO85+BO91+BO96+BO101+BO106+BO111+BO116+BO121+BO126+BO132+BO138+BO144+BO149+BO192+BO206+BO154+BO179+BO28+BO34+BO52+BO40+BO159+BO164+BO169+BO174+BO46</f>
        <v>0</v>
      </c>
      <c r="BP19" s="521"/>
      <c r="BQ19" s="53"/>
      <c r="BR19" s="518"/>
      <c r="BS19" s="519"/>
      <c r="BT19" s="520">
        <f>+BT25+BT58+BT63+BT68+BT74+BT80+BT85+BT91+BT96+BT101+BT106+BT111+BT116+BT121+BT126+BT132+BT138+BT144+BT149+BT192+BT206+BT154+BT179+BT28+BT34+BT52+BT40+BT159+BT164+BT169+BT174+BT46</f>
        <v>257399512.29299998</v>
      </c>
      <c r="BU19" s="521"/>
      <c r="BV19" s="53"/>
      <c r="BW19" s="465"/>
      <c r="BZ19" s="410"/>
      <c r="CA19" s="410"/>
      <c r="CB19" s="512"/>
    </row>
    <row r="20" spans="1:80" x14ac:dyDescent="0.2">
      <c r="A20" s="377"/>
      <c r="B20" s="377"/>
      <c r="D20" s="465" t="s">
        <v>338</v>
      </c>
      <c r="F20" s="417"/>
      <c r="G20" s="53">
        <v>33923000</v>
      </c>
      <c r="H20" s="52"/>
      <c r="I20" s="53"/>
      <c r="J20" s="518"/>
      <c r="K20" s="518"/>
      <c r="L20" s="53">
        <f>+L59+L64+L69+L75+L81+L86+L92+L97+L102+L107+L112+L117+L122+L127+L133+L139+L145+L150+L155+L180+L29+L35+L53+L41+L160+L165+L170+L175+L47</f>
        <v>4299769</v>
      </c>
      <c r="M20" s="52"/>
      <c r="N20" s="53"/>
      <c r="O20" s="518"/>
      <c r="P20" s="518"/>
      <c r="Q20" s="53">
        <f>+Q59+Q64+Q69+Q75+Q81+Q86+Q92+Q97+Q102+Q107+Q112+Q117+Q122+Q127+Q133+Q139+Q145+Q150+Q155+Q180+Q29+Q35+Q53+Q41+Q160+Q165+Q170+Q175+Q47</f>
        <v>4058204</v>
      </c>
      <c r="R20" s="52"/>
      <c r="S20" s="53"/>
      <c r="T20" s="518"/>
      <c r="U20" s="518"/>
      <c r="V20" s="53">
        <f>+V59+V64+V69+V75+V81+V86+V92+V97+V102+V107+V112+V117+V122+V127+V133+V139+V145+V150+V155+V180+V29+V35+V53+V41+V160+V165+V170+V175+V47</f>
        <v>6085389</v>
      </c>
      <c r="W20" s="52"/>
      <c r="X20" s="53"/>
      <c r="Y20" s="518"/>
      <c r="Z20" s="518"/>
      <c r="AA20" s="53">
        <f>+AA59+AA64+AA69+AA75+AA81+AA86+AA92+AA97+AA102+AA107+AA112+AA117+AA122+AA127+AA133+AA139+AA145+AA150+AA155+AA180+AA29+AA35+AA53+AA41+AA160+AA165+AA170+AA175+AA47</f>
        <v>8992564</v>
      </c>
      <c r="AB20" s="52"/>
      <c r="AC20" s="53"/>
      <c r="AD20" s="518"/>
      <c r="AE20" s="518"/>
      <c r="AF20" s="53">
        <f>+AF59+AF64+AF69+AF75+AF81+AF86+AF92+AF97+AF102+AF107+AF112+AF117+AF122+AF127+AF133+AF139+AF145+AF150+AF155+AF180+AF29+AF35+AF53+AF41+AF160+AF165+AF170+AF175+AF47</f>
        <v>6877121</v>
      </c>
      <c r="AG20" s="52"/>
      <c r="AH20" s="53"/>
      <c r="AI20" s="518"/>
      <c r="AJ20" s="518"/>
      <c r="AK20" s="53">
        <f>+AK59+AK64+AK69+AK75+AK81+AK86+AK92+AK97+AK102+AK107+AK112+AK117+AK122+AK127+AK133+AK139+AK145+AK150+AK155+AK180+AK29+AK35+AK53+AK41+AK160+AK165+AK170+AK175+AK47</f>
        <v>10836667</v>
      </c>
      <c r="AL20" s="52"/>
      <c r="AM20" s="53"/>
      <c r="AN20" s="518"/>
      <c r="AO20" s="518"/>
      <c r="AP20" s="53">
        <f>+AP59+AP64+AP69+AP75+AP81+AP86+AP92+AP97+AP102+AP107+AP112+AP117+AP122+AP127+AP133+AP139+AP145+AP150+AP155+AP180+AP29+AP35+AP53+AP41+AP160+AP165+AP170+AP175+AP47</f>
        <v>0</v>
      </c>
      <c r="AQ20" s="52"/>
      <c r="AR20" s="53"/>
      <c r="AS20" s="518"/>
      <c r="AT20" s="518"/>
      <c r="AU20" s="53">
        <f>+AU59+AU64+AU69+AU75+AU81+AU86+AU92+AU97+AU102+AU107+AU112+AU117+AU122+AU127+AU133+AU139+AU145+AU150+AU155+AU180+AU29+AU35+AU53+AU41+AU160+AU165+AU170+AU175+AU47</f>
        <v>0</v>
      </c>
      <c r="AV20" s="52"/>
      <c r="AW20" s="53"/>
      <c r="AX20" s="518"/>
      <c r="AY20" s="518"/>
      <c r="AZ20" s="53">
        <f>+AZ59+AZ64+AZ69+AZ75+AZ81+AZ86+AZ92+AZ97+AZ102+AZ107+AZ112+AZ117+AZ122+AZ127+AZ133+AZ139+AZ145+AZ150+AZ155+AZ180+AZ29+AZ35+AZ53+AZ41+AZ160+AZ165+AZ170+AZ175+AZ47</f>
        <v>0</v>
      </c>
      <c r="BA20" s="52"/>
      <c r="BB20" s="53"/>
      <c r="BC20" s="518"/>
      <c r="BD20" s="518"/>
      <c r="BE20" s="53">
        <f>+BE59+BE64+BE69+BE75+BE81+BE86+BE92+BE97+BE102+BE107+BE112+BE117+BE122+BE127+BE133+BE139+BE145+BE150+BE155+BE180+BE29+BE35+BE53+BE41+BE160+BE165+BE170+BE175+BE47</f>
        <v>0</v>
      </c>
      <c r="BF20" s="52"/>
      <c r="BG20" s="53"/>
      <c r="BH20" s="518"/>
      <c r="BI20" s="518"/>
      <c r="BJ20" s="53">
        <f>+BJ59+BJ64+BJ69+BJ75+BJ81+BJ86+BJ92+BJ97+BJ102+BJ107+BJ112+BJ117+BJ122+BJ127+BJ133+BJ139+BJ145+BJ150+BJ155+BJ180+BJ29+BJ35+BJ53+BJ41+BJ160+BJ165+BJ170+BJ175+BJ47</f>
        <v>0</v>
      </c>
      <c r="BK20" s="52"/>
      <c r="BL20" s="53"/>
      <c r="BM20" s="518"/>
      <c r="BN20" s="518"/>
      <c r="BO20" s="53">
        <f>+BO59+BO64+BO69+BO75+BO81+BO86+BO92+BO97+BO102+BO107+BO112+BO117+BO122+BO127+BO133+BO139+BO145+BO150+BO155+BO180+BO29+BO35+BO53+BO41+BO160+BO165+BO170+BO175+BO47</f>
        <v>0</v>
      </c>
      <c r="BP20" s="52"/>
      <c r="BQ20" s="53"/>
      <c r="BR20" s="518"/>
      <c r="BS20" s="518"/>
      <c r="BT20" s="53">
        <f>+BT59+BT64+BT69+BT75+BT81+BT86+BT92+BT97+BT102+BT107+BT112+BT117+BT122+BT127+BT133+BT139+BT145+BT150+BT155+BT180+BT29+BT35+BT53+BT41+BT160+BT165+BT170+BT175+BT47</f>
        <v>41149714</v>
      </c>
      <c r="BU20" s="52"/>
      <c r="BV20" s="53"/>
      <c r="BW20" s="465"/>
      <c r="BZ20" s="410"/>
      <c r="CA20" s="410"/>
      <c r="CB20" s="512"/>
    </row>
    <row r="21" spans="1:80" x14ac:dyDescent="0.2">
      <c r="A21" s="377"/>
      <c r="B21" s="377"/>
      <c r="D21" s="465" t="s">
        <v>375</v>
      </c>
      <c r="F21" s="417"/>
      <c r="G21" s="530">
        <v>0</v>
      </c>
      <c r="H21" s="531"/>
      <c r="I21" s="377"/>
      <c r="J21" s="417"/>
      <c r="K21" s="417"/>
      <c r="L21" s="53">
        <f>+L60+L65+L70+L76+L82+L87+L93+L98+L103+L108+L113+L118+L123+L128+L134+L140+L146+L151+L156+L181+L30+L36+L54+L42+L161+L166+L171+L176+L48</f>
        <v>-376261</v>
      </c>
      <c r="M21" s="52"/>
      <c r="N21" s="53"/>
      <c r="O21" s="518"/>
      <c r="P21" s="518"/>
      <c r="Q21" s="53">
        <f>+Q60+Q65+Q70+Q76+Q82+Q87+Q93+Q98+Q103+Q108+Q113+Q118+Q123+Q128+Q134+Q140+Q146+Q151+Q156+Q181+Q30+Q36+Q54+Q42+Q161+Q166+Q171+Q176+Q48</f>
        <v>-1466989</v>
      </c>
      <c r="R21" s="52"/>
      <c r="S21" s="53"/>
      <c r="T21" s="518"/>
      <c r="U21" s="518"/>
      <c r="V21" s="53">
        <f>+V60+V65+V70+V76+V82+V87+V93+V98+V103+V108+V113+V118+V123+V128+V134+V140+V146+V151+V156+V181+V30+V36+V54+V42+V161+V166+V171+V176+V48</f>
        <v>-764417</v>
      </c>
      <c r="W21" s="52"/>
      <c r="X21" s="53"/>
      <c r="Y21" s="518"/>
      <c r="Z21" s="518"/>
      <c r="AA21" s="53">
        <f>+AA60+AA65+AA70+AA76+AA82+AA87+AA93+AA98+AA103+AA108+AA113+AA118+AA123+AA128+AA134+AA140+AA146+AA151+AA156+AA181+AA30+AA36+AA54+AA42+AA161+AA166+AA171+AA176+AA48</f>
        <v>-2780721</v>
      </c>
      <c r="AB21" s="52"/>
      <c r="AC21" s="53"/>
      <c r="AD21" s="518"/>
      <c r="AE21" s="518"/>
      <c r="AF21" s="53">
        <f>+AF60+AF65+AF70+AF76+AF82+AF87+AF93+AF98+AF103+AF108+AF113+AF118+AF123+AF128+AF134+AF140+AF146+AF151+AF156+AF181+AF30+AF36+AF54+AF42+AF161+AF166+AF171+AF176+AF48</f>
        <v>-1213553</v>
      </c>
      <c r="AG21" s="52"/>
      <c r="AH21" s="53"/>
      <c r="AI21" s="518"/>
      <c r="AJ21" s="518"/>
      <c r="AK21" s="53">
        <f>+AK60+AK65+AK70+AK76+AK82+AK87+AK93+AK98+AK103+AK108+AK113+AK118+AK123+AK128+AK134+AK140+AK146+AK151+AK156+AK181+AK30+AK36+AK54+AK42+AK161+AK166+AK171+AK176+AK48</f>
        <v>-716835</v>
      </c>
      <c r="AL21" s="52"/>
      <c r="AM21" s="53"/>
      <c r="AN21" s="518"/>
      <c r="AO21" s="518"/>
      <c r="AP21" s="53">
        <f>+AP60+AP65+AP70+AP76+AP82+AP87+AP93+AP98+AP103+AP108+AP113+AP118+AP123+AP128+AP134+AP140+AP146+AP151+AP156+AP181+AP30+AP36+AP54+AP42+AP161+AP166+AP171+AP176+AP48</f>
        <v>0</v>
      </c>
      <c r="AQ21" s="52"/>
      <c r="AR21" s="53"/>
      <c r="AS21" s="518"/>
      <c r="AT21" s="518"/>
      <c r="AU21" s="53">
        <f>+AU60+AU65+AU70+AU76+AU82+AU87+AU93+AU98+AU103+AU108+AU113+AU118+AU123+AU128+AU134+AU140+AU146+AU151+AU156+AU181+AU30+AU36+AU54+AU42+AU161+AU166+AU171+AU176+AU48</f>
        <v>0</v>
      </c>
      <c r="AV21" s="52"/>
      <c r="AW21" s="53"/>
      <c r="AX21" s="518"/>
      <c r="AY21" s="518"/>
      <c r="AZ21" s="53">
        <f>+AZ60+AZ65+AZ70+AZ76+AZ82+AZ87+AZ93+AZ98+AZ103+AZ108+AZ113+AZ118+AZ123+AZ128+AZ134+AZ140+AZ146+AZ151+AZ156+AZ181+AZ30+AZ36+AZ54+AZ42+AZ161+AZ166+AZ171+AZ176+AZ48</f>
        <v>0</v>
      </c>
      <c r="BA21" s="52"/>
      <c r="BB21" s="53"/>
      <c r="BC21" s="518"/>
      <c r="BD21" s="518"/>
      <c r="BE21" s="53">
        <f>+BE60+BE65+BE70+BE76+BE82+BE87+BE93+BE98+BE103+BE108+BE113+BE118+BE123+BE128+BE134+BE140+BE146+BE151+BE156+BE181+BE30+BE36+BE54+BE42+BE161+BE166+BE171+BE176+BE48</f>
        <v>0</v>
      </c>
      <c r="BF21" s="52"/>
      <c r="BG21" s="53"/>
      <c r="BH21" s="518"/>
      <c r="BI21" s="518"/>
      <c r="BJ21" s="53">
        <f>+BJ60+BJ65+BJ70+BJ76+BJ82+BJ87+BJ93+BJ98+BJ103+BJ108+BJ113+BJ118+BJ123+BJ128+BJ134+BJ140+BJ146+BJ151+BJ156+BJ181+BJ30+BJ36+BJ54+BJ42+BJ161+BJ166+BJ171+BJ176+BJ48</f>
        <v>0</v>
      </c>
      <c r="BK21" s="52"/>
      <c r="BL21" s="53"/>
      <c r="BM21" s="518"/>
      <c r="BN21" s="518"/>
      <c r="BO21" s="53">
        <f>+BO60+BO65+BO70+BO76+BO82+BO87+BO93+BO98+BO103+BO108+BO113+BO118+BO123+BO128+BO134+BO140+BO146+BO151+BO156+BO181+BO30+BO36+BO54+BO42+BO161+BO166+BO171+BO176+BO48</f>
        <v>0</v>
      </c>
      <c r="BP21" s="52"/>
      <c r="BQ21" s="53"/>
      <c r="BR21" s="518"/>
      <c r="BS21" s="518"/>
      <c r="BT21" s="53">
        <f>+BT60+BT65+BT70+BT76+BT82+BT87+BT93+BT98+BT103+BT108+BT113+BT118+BT123+BT128+BT134+BT140+BT146+BT151+BT156+BT181+BT30+BT36+BT54+BT42+BT161+BT166+BT171+BT176+BT48</f>
        <v>-7318776</v>
      </c>
      <c r="BU21" s="52"/>
      <c r="BV21" s="53"/>
      <c r="BW21" s="465"/>
      <c r="BZ21" s="410"/>
      <c r="CA21" s="410"/>
      <c r="CB21" s="512"/>
    </row>
    <row r="22" spans="1:80" x14ac:dyDescent="0.2">
      <c r="A22" s="377"/>
      <c r="B22" s="377"/>
      <c r="D22" s="465" t="s">
        <v>376</v>
      </c>
      <c r="F22" s="478"/>
      <c r="G22" s="532">
        <v>0</v>
      </c>
      <c r="H22" s="533"/>
      <c r="I22" s="377"/>
      <c r="J22" s="417"/>
      <c r="K22" s="478"/>
      <c r="L22" s="462">
        <f>+L71+L77+L88+L129+L135+L141+L31+L37+L55+L43+L49</f>
        <v>2018135</v>
      </c>
      <c r="M22" s="533"/>
      <c r="N22" s="377"/>
      <c r="O22" s="417"/>
      <c r="P22" s="478"/>
      <c r="Q22" s="462">
        <f>+Q71+Q77+Q88+Q129+Q135+Q141+Q31+Q37+Q55+Q43+Q49</f>
        <v>1702088.4509999999</v>
      </c>
      <c r="R22" s="533"/>
      <c r="S22" s="377"/>
      <c r="T22" s="417"/>
      <c r="U22" s="478"/>
      <c r="V22" s="462">
        <f>+V71+V77+V88+V129+V135+V141+V31+V37+V55+V43+V49</f>
        <v>2453020</v>
      </c>
      <c r="W22" s="533"/>
      <c r="X22" s="377"/>
      <c r="Y22" s="417"/>
      <c r="Z22" s="478"/>
      <c r="AA22" s="462">
        <f>+AA71+AA77+AA88+AA129+AA135+AA141+AA31+AA37+AA55+AA43+AA49</f>
        <v>3947663</v>
      </c>
      <c r="AB22" s="533"/>
      <c r="AC22" s="377"/>
      <c r="AD22" s="417"/>
      <c r="AE22" s="478"/>
      <c r="AF22" s="462">
        <f>+AF71+AF77+AF88+AF129+AF135+AF141+AF31+AF37+AF55+AF43+AF49</f>
        <v>3082152</v>
      </c>
      <c r="AG22" s="533"/>
      <c r="AH22" s="377"/>
      <c r="AI22" s="417"/>
      <c r="AJ22" s="478"/>
      <c r="AK22" s="462">
        <f>+AK71+AK77+AK88+AK129+AK135+AK141+AK31+AK37+AK55+AK43+AK49</f>
        <v>4288478</v>
      </c>
      <c r="AL22" s="533"/>
      <c r="AM22" s="377"/>
      <c r="AN22" s="417"/>
      <c r="AO22" s="478"/>
      <c r="AP22" s="462">
        <f>+AP71+AP77+AP88+AP129+AP135+AP141+AP31+AP37+AP55+AP43+AP49</f>
        <v>0</v>
      </c>
      <c r="AQ22" s="533"/>
      <c r="AR22" s="377"/>
      <c r="AS22" s="417"/>
      <c r="AT22" s="478"/>
      <c r="AU22" s="462">
        <f>+AU71+AU77+AU88+AU129+AU135+AU141+AU31+AU37+AU55+AU43+AU49</f>
        <v>0</v>
      </c>
      <c r="AV22" s="533"/>
      <c r="AW22" s="377"/>
      <c r="AX22" s="417"/>
      <c r="AY22" s="478"/>
      <c r="AZ22" s="462">
        <f>+AZ71+AZ77+AZ88+AZ129+AZ135+AZ141+AZ31+AZ37+AZ55+AZ43+AZ49</f>
        <v>0</v>
      </c>
      <c r="BA22" s="533"/>
      <c r="BB22" s="377"/>
      <c r="BC22" s="417"/>
      <c r="BD22" s="478"/>
      <c r="BE22" s="462">
        <f>+BE71+BE77+BE88+BE129+BE135+BE141+BE31+BE37+BE55+BE43+BE49</f>
        <v>0</v>
      </c>
      <c r="BF22" s="533"/>
      <c r="BG22" s="377"/>
      <c r="BH22" s="417"/>
      <c r="BI22" s="478"/>
      <c r="BJ22" s="462">
        <f>+BJ71+BJ77+BJ88+BJ129+BJ135+BJ141+BJ31+BJ37+BJ55+BJ43+BJ49</f>
        <v>0</v>
      </c>
      <c r="BK22" s="533"/>
      <c r="BL22" s="377"/>
      <c r="BM22" s="417"/>
      <c r="BN22" s="478"/>
      <c r="BO22" s="462">
        <f>+BO71+BO77+BO88+BO129+BO135+BO141+BO31+BO37+BO55+BO43+BO49</f>
        <v>0</v>
      </c>
      <c r="BP22" s="533"/>
      <c r="BQ22" s="377"/>
      <c r="BR22" s="417"/>
      <c r="BS22" s="478"/>
      <c r="BT22" s="462">
        <f>+BT71+BT77+BT88+BT129+BT135+BT141+BT31+BT37+BT55+BT43+BT49</f>
        <v>17491536.450999998</v>
      </c>
      <c r="BU22" s="533"/>
      <c r="BV22" s="377"/>
      <c r="BW22" s="465"/>
      <c r="BZ22" s="410"/>
      <c r="CA22" s="410"/>
    </row>
    <row r="23" spans="1:80" x14ac:dyDescent="0.2">
      <c r="A23" s="377"/>
      <c r="B23" s="377"/>
      <c r="D23" s="465"/>
      <c r="F23" s="377"/>
      <c r="G23" s="53"/>
      <c r="H23" s="53"/>
      <c r="I23" s="53"/>
      <c r="J23" s="518"/>
      <c r="K23" s="53"/>
      <c r="L23" s="53"/>
      <c r="M23" s="53"/>
      <c r="N23" s="53"/>
      <c r="O23" s="518"/>
      <c r="P23" s="53"/>
      <c r="Q23" s="53"/>
      <c r="R23" s="53"/>
      <c r="S23" s="53"/>
      <c r="T23" s="518"/>
      <c r="U23" s="53"/>
      <c r="V23" s="53"/>
      <c r="W23" s="53"/>
      <c r="X23" s="53"/>
      <c r="Y23" s="518"/>
      <c r="Z23" s="53"/>
      <c r="AA23" s="53"/>
      <c r="AB23" s="53"/>
      <c r="AC23" s="53"/>
      <c r="AD23" s="518"/>
      <c r="AE23" s="53"/>
      <c r="AF23" s="53"/>
      <c r="AG23" s="53"/>
      <c r="AH23" s="53"/>
      <c r="AI23" s="518"/>
      <c r="AJ23" s="53"/>
      <c r="AK23" s="53"/>
      <c r="AL23" s="53"/>
      <c r="AM23" s="53"/>
      <c r="AN23" s="518"/>
      <c r="AO23" s="53"/>
      <c r="AP23" s="53"/>
      <c r="AQ23" s="53"/>
      <c r="AR23" s="53"/>
      <c r="AS23" s="518"/>
      <c r="AT23" s="53"/>
      <c r="AU23" s="53"/>
      <c r="AV23" s="53"/>
      <c r="AW23" s="53"/>
      <c r="AX23" s="518"/>
      <c r="AY23" s="53"/>
      <c r="AZ23" s="53"/>
      <c r="BA23" s="53"/>
      <c r="BB23" s="53"/>
      <c r="BC23" s="518"/>
      <c r="BD23" s="53"/>
      <c r="BE23" s="53"/>
      <c r="BF23" s="53"/>
      <c r="BG23" s="53"/>
      <c r="BH23" s="518"/>
      <c r="BI23" s="53"/>
      <c r="BJ23" s="53"/>
      <c r="BK23" s="53"/>
      <c r="BL23" s="53"/>
      <c r="BM23" s="518"/>
      <c r="BN23" s="53"/>
      <c r="BO23" s="53"/>
      <c r="BP23" s="53"/>
      <c r="BQ23" s="53"/>
      <c r="BR23" s="518"/>
      <c r="BS23" s="53"/>
      <c r="BT23" s="53"/>
      <c r="BU23" s="53"/>
      <c r="BV23" s="53"/>
      <c r="BW23" s="465"/>
      <c r="BZ23" s="410"/>
      <c r="CA23" s="410"/>
    </row>
    <row r="24" spans="1:80" ht="12.75" customHeight="1" x14ac:dyDescent="0.2">
      <c r="A24" s="377"/>
      <c r="B24" s="377"/>
      <c r="D24" s="465" t="s">
        <v>377</v>
      </c>
      <c r="F24" s="377"/>
      <c r="G24" s="53">
        <f>SUM(G25:G25)</f>
        <v>0</v>
      </c>
      <c r="H24" s="53"/>
      <c r="I24" s="53"/>
      <c r="J24" s="518"/>
      <c r="K24" s="53"/>
      <c r="L24" s="53">
        <f>SUM(L25:L25)</f>
        <v>2634484</v>
      </c>
      <c r="M24" s="53"/>
      <c r="N24" s="53"/>
      <c r="O24" s="518"/>
      <c r="P24" s="53"/>
      <c r="Q24" s="53">
        <f>SUM(Q25:Q25)</f>
        <v>1723199.2930000001</v>
      </c>
      <c r="R24" s="53"/>
      <c r="S24" s="53"/>
      <c r="T24" s="518"/>
      <c r="U24" s="53"/>
      <c r="V24" s="53">
        <f>SUM(V25:V25)</f>
        <v>575828</v>
      </c>
      <c r="W24" s="53"/>
      <c r="X24" s="53"/>
      <c r="Y24" s="518"/>
      <c r="Z24" s="53"/>
      <c r="AA24" s="53">
        <f>SUM(AA25:AA25)</f>
        <v>349368</v>
      </c>
      <c r="AB24" s="53"/>
      <c r="AC24" s="53"/>
      <c r="AD24" s="518"/>
      <c r="AE24" s="53"/>
      <c r="AF24" s="53">
        <f>SUM(AF25:AF25)</f>
        <v>358206</v>
      </c>
      <c r="AG24" s="53"/>
      <c r="AH24" s="53"/>
      <c r="AI24" s="518"/>
      <c r="AJ24" s="53"/>
      <c r="AK24" s="53">
        <f>SUM(AK25:AK25)</f>
        <v>536365</v>
      </c>
      <c r="AL24" s="53"/>
      <c r="AM24" s="53"/>
      <c r="AN24" s="518"/>
      <c r="AO24" s="53"/>
      <c r="AP24" s="53">
        <f>SUM(AP25:AP25)</f>
        <v>0</v>
      </c>
      <c r="AQ24" s="53"/>
      <c r="AR24" s="53"/>
      <c r="AS24" s="518"/>
      <c r="AT24" s="53"/>
      <c r="AU24" s="53">
        <f>SUM(AU25:AU25)</f>
        <v>0</v>
      </c>
      <c r="AV24" s="53"/>
      <c r="AW24" s="53"/>
      <c r="AX24" s="518"/>
      <c r="AY24" s="53"/>
      <c r="AZ24" s="53">
        <f>SUM(AZ25:AZ25)</f>
        <v>0</v>
      </c>
      <c r="BA24" s="53"/>
      <c r="BB24" s="53"/>
      <c r="BC24" s="518"/>
      <c r="BD24" s="53"/>
      <c r="BE24" s="53">
        <f>SUM(BE25:BE25)</f>
        <v>0</v>
      </c>
      <c r="BF24" s="53"/>
      <c r="BG24" s="53"/>
      <c r="BH24" s="518"/>
      <c r="BI24" s="53"/>
      <c r="BJ24" s="53">
        <f>SUM(BJ25:BJ25)</f>
        <v>0</v>
      </c>
      <c r="BK24" s="53"/>
      <c r="BL24" s="53"/>
      <c r="BM24" s="518"/>
      <c r="BN24" s="53"/>
      <c r="BO24" s="53">
        <f>SUM(BO25:BO25)</f>
        <v>0</v>
      </c>
      <c r="BP24" s="53"/>
      <c r="BQ24" s="53"/>
      <c r="BR24" s="518"/>
      <c r="BS24" s="53"/>
      <c r="BT24" s="53">
        <f>SUM(BT25:BT25)</f>
        <v>6177450.2929999996</v>
      </c>
      <c r="BU24" s="53"/>
      <c r="BV24" s="53"/>
      <c r="BW24" s="465"/>
      <c r="BZ24" s="410"/>
      <c r="CA24" s="410"/>
    </row>
    <row r="25" spans="1:80" x14ac:dyDescent="0.2">
      <c r="A25" s="377"/>
      <c r="B25" s="377"/>
      <c r="D25" s="562" t="s">
        <v>378</v>
      </c>
      <c r="E25" s="518"/>
      <c r="F25" s="548"/>
      <c r="G25" s="493">
        <v>0</v>
      </c>
      <c r="H25" s="549"/>
      <c r="I25" s="53"/>
      <c r="J25" s="518"/>
      <c r="K25" s="550"/>
      <c r="L25" s="493">
        <v>2634484</v>
      </c>
      <c r="M25" s="549"/>
      <c r="N25" s="53"/>
      <c r="O25" s="518"/>
      <c r="P25" s="550"/>
      <c r="Q25" s="566">
        <v>1723199.2930000001</v>
      </c>
      <c r="R25" s="549"/>
      <c r="S25" s="53"/>
      <c r="T25" s="518"/>
      <c r="U25" s="550"/>
      <c r="V25" s="566">
        <v>575828</v>
      </c>
      <c r="W25" s="549"/>
      <c r="X25" s="53"/>
      <c r="Y25" s="518"/>
      <c r="Z25" s="550"/>
      <c r="AA25" s="566">
        <v>349368</v>
      </c>
      <c r="AB25" s="549"/>
      <c r="AC25" s="53"/>
      <c r="AD25" s="518"/>
      <c r="AE25" s="550"/>
      <c r="AF25" s="566">
        <v>358206</v>
      </c>
      <c r="AG25" s="549"/>
      <c r="AH25" s="53"/>
      <c r="AI25" s="518"/>
      <c r="AJ25" s="550"/>
      <c r="AK25" s="566">
        <v>536365</v>
      </c>
      <c r="AL25" s="549"/>
      <c r="AM25" s="53"/>
      <c r="AN25" s="518"/>
      <c r="AO25" s="550"/>
      <c r="AP25" s="566">
        <v>0</v>
      </c>
      <c r="AQ25" s="549"/>
      <c r="AR25" s="53"/>
      <c r="AS25" s="518"/>
      <c r="AT25" s="550"/>
      <c r="AU25" s="566">
        <v>0</v>
      </c>
      <c r="AV25" s="549"/>
      <c r="AW25" s="53"/>
      <c r="AX25" s="518"/>
      <c r="AY25" s="550"/>
      <c r="AZ25" s="566">
        <v>0</v>
      </c>
      <c r="BA25" s="549"/>
      <c r="BB25" s="53"/>
      <c r="BC25" s="518"/>
      <c r="BD25" s="550"/>
      <c r="BE25" s="566">
        <v>0</v>
      </c>
      <c r="BF25" s="549"/>
      <c r="BG25" s="53"/>
      <c r="BH25" s="518"/>
      <c r="BI25" s="550"/>
      <c r="BJ25" s="566">
        <v>0</v>
      </c>
      <c r="BK25" s="549"/>
      <c r="BL25" s="53"/>
      <c r="BM25" s="518"/>
      <c r="BN25" s="550"/>
      <c r="BO25" s="566">
        <v>0</v>
      </c>
      <c r="BP25" s="549"/>
      <c r="BQ25" s="53"/>
      <c r="BR25" s="518"/>
      <c r="BS25" s="550"/>
      <c r="BT25" s="493">
        <f>SUM(L25:BO25)</f>
        <v>6177450.2929999996</v>
      </c>
      <c r="BU25" s="549"/>
      <c r="BV25" s="53"/>
      <c r="BW25" s="465"/>
      <c r="BZ25" s="410"/>
      <c r="CA25" s="410"/>
    </row>
    <row r="26" spans="1:80" x14ac:dyDescent="0.2">
      <c r="A26" s="377"/>
      <c r="B26" s="377"/>
      <c r="D26" s="553"/>
      <c r="E26" s="518"/>
      <c r="F26" s="377"/>
      <c r="G26" s="53"/>
      <c r="H26" s="53"/>
      <c r="I26" s="53"/>
      <c r="J26" s="518"/>
      <c r="K26" s="53"/>
      <c r="L26" s="53"/>
      <c r="M26" s="53"/>
      <c r="N26" s="53"/>
      <c r="O26" s="518"/>
      <c r="P26" s="53"/>
      <c r="Q26" s="53"/>
      <c r="R26" s="53"/>
      <c r="S26" s="53"/>
      <c r="T26" s="518"/>
      <c r="U26" s="53"/>
      <c r="V26" s="53"/>
      <c r="W26" s="53"/>
      <c r="X26" s="53"/>
      <c r="Y26" s="518"/>
      <c r="Z26" s="53"/>
      <c r="AA26" s="53"/>
      <c r="AB26" s="53"/>
      <c r="AC26" s="53"/>
      <c r="AD26" s="518"/>
      <c r="AE26" s="53"/>
      <c r="AF26" s="53"/>
      <c r="AG26" s="53"/>
      <c r="AH26" s="53"/>
      <c r="AI26" s="518"/>
      <c r="AJ26" s="53"/>
      <c r="AK26" s="53"/>
      <c r="AL26" s="53"/>
      <c r="AM26" s="53"/>
      <c r="AN26" s="518"/>
      <c r="AO26" s="53"/>
      <c r="AP26" s="53"/>
      <c r="AQ26" s="53"/>
      <c r="AR26" s="53"/>
      <c r="AS26" s="518"/>
      <c r="AT26" s="53"/>
      <c r="AU26" s="53"/>
      <c r="AV26" s="53"/>
      <c r="AW26" s="53"/>
      <c r="AX26" s="518"/>
      <c r="AY26" s="53"/>
      <c r="AZ26" s="53"/>
      <c r="BA26" s="53"/>
      <c r="BB26" s="53"/>
      <c r="BC26" s="518"/>
      <c r="BD26" s="53"/>
      <c r="BE26" s="53"/>
      <c r="BF26" s="53"/>
      <c r="BG26" s="53"/>
      <c r="BH26" s="518"/>
      <c r="BI26" s="53"/>
      <c r="BJ26" s="53"/>
      <c r="BK26" s="53"/>
      <c r="BL26" s="53"/>
      <c r="BM26" s="518"/>
      <c r="BN26" s="53"/>
      <c r="BO26" s="53"/>
      <c r="BP26" s="53"/>
      <c r="BQ26" s="53"/>
      <c r="BR26" s="518"/>
      <c r="BS26" s="53"/>
      <c r="BT26" s="53"/>
      <c r="BU26" s="53"/>
      <c r="BV26" s="53"/>
      <c r="BW26" s="465"/>
      <c r="BZ26" s="410"/>
      <c r="CA26" s="410"/>
    </row>
    <row r="27" spans="1:80" ht="12.75" customHeight="1" x14ac:dyDescent="0.2">
      <c r="A27" s="377"/>
      <c r="B27" s="377"/>
      <c r="D27" s="465" t="s">
        <v>379</v>
      </c>
      <c r="E27" s="518"/>
      <c r="F27" s="377"/>
      <c r="G27" s="53">
        <f>SUM(G28:G31)</f>
        <v>0</v>
      </c>
      <c r="H27" s="53"/>
      <c r="I27" s="53"/>
      <c r="J27" s="518"/>
      <c r="K27" s="53"/>
      <c r="L27" s="53">
        <f>SUM(L28:L31)</f>
        <v>1042197</v>
      </c>
      <c r="M27" s="53"/>
      <c r="N27" s="53"/>
      <c r="O27" s="518"/>
      <c r="P27" s="53"/>
      <c r="Q27" s="53">
        <f>SUM(Q28:Q31)</f>
        <v>1058402</v>
      </c>
      <c r="R27" s="53"/>
      <c r="S27" s="53"/>
      <c r="T27" s="518"/>
      <c r="U27" s="53"/>
      <c r="V27" s="53">
        <f>SUM(V28:V31)</f>
        <v>2103455</v>
      </c>
      <c r="W27" s="53"/>
      <c r="X27" s="53"/>
      <c r="Y27" s="518"/>
      <c r="Z27" s="53"/>
      <c r="AA27" s="53">
        <f>SUM(AA28:AA31)</f>
        <v>2696004</v>
      </c>
      <c r="AB27" s="53"/>
      <c r="AC27" s="53"/>
      <c r="AD27" s="518"/>
      <c r="AE27" s="53"/>
      <c r="AF27" s="53">
        <f>SUM(AF28:AF31)</f>
        <v>3471351</v>
      </c>
      <c r="AG27" s="53"/>
      <c r="AH27" s="53"/>
      <c r="AI27" s="518"/>
      <c r="AJ27" s="53"/>
      <c r="AK27" s="53">
        <f>SUM(AK28:AK31)</f>
        <v>2609265</v>
      </c>
      <c r="AL27" s="53"/>
      <c r="AM27" s="53"/>
      <c r="AN27" s="518"/>
      <c r="AO27" s="53"/>
      <c r="AP27" s="53">
        <f>SUM(AP28:AP31)</f>
        <v>0</v>
      </c>
      <c r="AQ27" s="53"/>
      <c r="AR27" s="53"/>
      <c r="AS27" s="518"/>
      <c r="AT27" s="53"/>
      <c r="AU27" s="53">
        <f>SUM(AU28:AU31)</f>
        <v>0</v>
      </c>
      <c r="AV27" s="53"/>
      <c r="AW27" s="53"/>
      <c r="AX27" s="518"/>
      <c r="AY27" s="53"/>
      <c r="AZ27" s="53">
        <f>SUM(AZ28:AZ31)</f>
        <v>0</v>
      </c>
      <c r="BA27" s="53"/>
      <c r="BB27" s="53"/>
      <c r="BC27" s="518"/>
      <c r="BD27" s="53"/>
      <c r="BE27" s="53">
        <f>SUM(BE28:BE31)</f>
        <v>0</v>
      </c>
      <c r="BF27" s="53"/>
      <c r="BG27" s="53"/>
      <c r="BH27" s="518"/>
      <c r="BI27" s="53"/>
      <c r="BJ27" s="53">
        <f>SUM(BJ28:BJ31)</f>
        <v>0</v>
      </c>
      <c r="BK27" s="53"/>
      <c r="BL27" s="53"/>
      <c r="BM27" s="518"/>
      <c r="BN27" s="53"/>
      <c r="BO27" s="53">
        <f>SUM(BO28:BO31)</f>
        <v>0</v>
      </c>
      <c r="BP27" s="53"/>
      <c r="BQ27" s="53"/>
      <c r="BR27" s="518"/>
      <c r="BS27" s="53"/>
      <c r="BT27" s="53">
        <f>SUM(BT28:BT31)</f>
        <v>12980674</v>
      </c>
      <c r="BU27" s="53"/>
      <c r="BV27" s="53"/>
      <c r="BW27" s="465"/>
      <c r="BZ27" s="410"/>
      <c r="CA27" s="410"/>
    </row>
    <row r="28" spans="1:80" ht="12.75" customHeight="1" x14ac:dyDescent="0.2">
      <c r="A28" s="377"/>
      <c r="B28" s="377"/>
      <c r="D28" s="465" t="s">
        <v>378</v>
      </c>
      <c r="E28" s="49"/>
      <c r="F28" s="469"/>
      <c r="G28" s="520">
        <v>0</v>
      </c>
      <c r="H28" s="521"/>
      <c r="I28" s="53"/>
      <c r="J28" s="518"/>
      <c r="K28" s="519"/>
      <c r="L28" s="520">
        <f>710000-92043</f>
        <v>617957</v>
      </c>
      <c r="M28" s="521"/>
      <c r="N28" s="53"/>
      <c r="O28" s="518"/>
      <c r="P28" s="519"/>
      <c r="Q28" s="520">
        <f>715000-81485</f>
        <v>633515</v>
      </c>
      <c r="R28" s="521"/>
      <c r="S28" s="53"/>
      <c r="T28" s="518"/>
      <c r="U28" s="519"/>
      <c r="V28" s="520">
        <f>1415000-155031</f>
        <v>1259969</v>
      </c>
      <c r="W28" s="521"/>
      <c r="X28" s="53"/>
      <c r="Y28" s="518"/>
      <c r="Z28" s="519"/>
      <c r="AA28" s="520">
        <f>1815000-207034</f>
        <v>1607966</v>
      </c>
      <c r="AB28" s="521"/>
      <c r="AC28" s="53"/>
      <c r="AD28" s="518"/>
      <c r="AE28" s="519"/>
      <c r="AF28" s="520">
        <f>2350000-217256</f>
        <v>2132744</v>
      </c>
      <c r="AG28" s="521"/>
      <c r="AH28" s="53"/>
      <c r="AI28" s="518"/>
      <c r="AJ28" s="519"/>
      <c r="AK28" s="520">
        <f>1770000-89469</f>
        <v>1680531</v>
      </c>
      <c r="AL28" s="521"/>
      <c r="AM28" s="53"/>
      <c r="AN28" s="518"/>
      <c r="AO28" s="519"/>
      <c r="AP28" s="520">
        <v>0</v>
      </c>
      <c r="AQ28" s="521"/>
      <c r="AR28" s="53"/>
      <c r="AS28" s="518"/>
      <c r="AT28" s="519"/>
      <c r="AU28" s="520">
        <v>0</v>
      </c>
      <c r="AV28" s="521"/>
      <c r="AW28" s="53"/>
      <c r="AX28" s="518"/>
      <c r="AY28" s="519"/>
      <c r="AZ28" s="520">
        <v>0</v>
      </c>
      <c r="BA28" s="521"/>
      <c r="BB28" s="53"/>
      <c r="BC28" s="518"/>
      <c r="BD28" s="519"/>
      <c r="BE28" s="520">
        <v>0</v>
      </c>
      <c r="BF28" s="521"/>
      <c r="BG28" s="53"/>
      <c r="BH28" s="518"/>
      <c r="BI28" s="519"/>
      <c r="BJ28" s="520">
        <v>0</v>
      </c>
      <c r="BK28" s="521"/>
      <c r="BL28" s="53"/>
      <c r="BM28" s="518"/>
      <c r="BN28" s="519"/>
      <c r="BO28" s="520">
        <v>0</v>
      </c>
      <c r="BP28" s="521"/>
      <c r="BQ28" s="53"/>
      <c r="BR28" s="518"/>
      <c r="BS28" s="519"/>
      <c r="BT28" s="520">
        <f>SUM(L28:BO28)</f>
        <v>7932682</v>
      </c>
      <c r="BU28" s="521"/>
      <c r="BV28" s="53"/>
      <c r="BW28" s="465"/>
      <c r="BZ28" s="410"/>
      <c r="CA28" s="410"/>
    </row>
    <row r="29" spans="1:80" ht="12.75" customHeight="1" x14ac:dyDescent="0.2">
      <c r="A29" s="377"/>
      <c r="B29" s="377"/>
      <c r="D29" s="465" t="s">
        <v>380</v>
      </c>
      <c r="E29" s="518"/>
      <c r="F29" s="417"/>
      <c r="G29" s="53">
        <v>0</v>
      </c>
      <c r="H29" s="52"/>
      <c r="I29" s="53"/>
      <c r="J29" s="518"/>
      <c r="K29" s="518"/>
      <c r="L29" s="53">
        <v>92043</v>
      </c>
      <c r="M29" s="52"/>
      <c r="N29" s="53"/>
      <c r="O29" s="518"/>
      <c r="P29" s="518"/>
      <c r="Q29" s="53">
        <v>81485</v>
      </c>
      <c r="R29" s="52"/>
      <c r="S29" s="53"/>
      <c r="T29" s="518"/>
      <c r="U29" s="518"/>
      <c r="V29" s="53">
        <v>155031</v>
      </c>
      <c r="W29" s="52"/>
      <c r="X29" s="53"/>
      <c r="Y29" s="518"/>
      <c r="Z29" s="518"/>
      <c r="AA29" s="53">
        <v>207034</v>
      </c>
      <c r="AB29" s="52"/>
      <c r="AC29" s="53"/>
      <c r="AD29" s="518"/>
      <c r="AE29" s="518"/>
      <c r="AF29" s="53">
        <v>217256</v>
      </c>
      <c r="AG29" s="52"/>
      <c r="AH29" s="53"/>
      <c r="AI29" s="518"/>
      <c r="AJ29" s="518"/>
      <c r="AK29" s="53">
        <v>89469</v>
      </c>
      <c r="AL29" s="52"/>
      <c r="AM29" s="53"/>
      <c r="AN29" s="518"/>
      <c r="AO29" s="518"/>
      <c r="AP29" s="53">
        <v>0</v>
      </c>
      <c r="AQ29" s="52"/>
      <c r="AR29" s="53"/>
      <c r="AS29" s="518"/>
      <c r="AT29" s="518"/>
      <c r="AU29" s="53">
        <v>0</v>
      </c>
      <c r="AV29" s="52"/>
      <c r="AW29" s="53"/>
      <c r="AX29" s="518"/>
      <c r="AY29" s="518"/>
      <c r="AZ29" s="53">
        <v>0</v>
      </c>
      <c r="BA29" s="52"/>
      <c r="BB29" s="53"/>
      <c r="BC29" s="518"/>
      <c r="BD29" s="518"/>
      <c r="BE29" s="53">
        <v>0</v>
      </c>
      <c r="BF29" s="52"/>
      <c r="BG29" s="53"/>
      <c r="BH29" s="518"/>
      <c r="BI29" s="518"/>
      <c r="BJ29" s="53">
        <v>0</v>
      </c>
      <c r="BK29" s="52"/>
      <c r="BL29" s="53"/>
      <c r="BM29" s="518"/>
      <c r="BN29" s="518"/>
      <c r="BO29" s="53">
        <v>0</v>
      </c>
      <c r="BP29" s="52"/>
      <c r="BQ29" s="53"/>
      <c r="BR29" s="518"/>
      <c r="BS29" s="518"/>
      <c r="BT29" s="53">
        <f>SUM(L29:BO29)</f>
        <v>842318</v>
      </c>
      <c r="BU29" s="52"/>
      <c r="BV29" s="53"/>
      <c r="BW29" s="465"/>
      <c r="BZ29" s="410"/>
      <c r="CA29" s="410"/>
    </row>
    <row r="30" spans="1:80" ht="12.75" customHeight="1" x14ac:dyDescent="0.2">
      <c r="A30" s="377"/>
      <c r="B30" s="377"/>
      <c r="D30" s="465" t="s">
        <v>381</v>
      </c>
      <c r="E30" s="518"/>
      <c r="F30" s="417"/>
      <c r="G30" s="53">
        <v>0</v>
      </c>
      <c r="H30" s="52"/>
      <c r="I30" s="53"/>
      <c r="J30" s="518"/>
      <c r="K30" s="518"/>
      <c r="L30" s="53">
        <v>0</v>
      </c>
      <c r="M30" s="52"/>
      <c r="N30" s="53"/>
      <c r="O30" s="518"/>
      <c r="P30" s="518"/>
      <c r="Q30" s="53">
        <v>0</v>
      </c>
      <c r="R30" s="52"/>
      <c r="S30" s="53"/>
      <c r="T30" s="518"/>
      <c r="U30" s="518"/>
      <c r="V30" s="53">
        <v>0</v>
      </c>
      <c r="W30" s="52"/>
      <c r="X30" s="53"/>
      <c r="Y30" s="518"/>
      <c r="Z30" s="518"/>
      <c r="AA30" s="53">
        <v>0</v>
      </c>
      <c r="AB30" s="52"/>
      <c r="AC30" s="53"/>
      <c r="AD30" s="518"/>
      <c r="AE30" s="518"/>
      <c r="AF30" s="53">
        <v>0</v>
      </c>
      <c r="AG30" s="52"/>
      <c r="AH30" s="53"/>
      <c r="AI30" s="518"/>
      <c r="AJ30" s="518"/>
      <c r="AK30" s="53">
        <v>0</v>
      </c>
      <c r="AL30" s="52"/>
      <c r="AM30" s="53"/>
      <c r="AN30" s="518"/>
      <c r="AO30" s="518"/>
      <c r="AP30" s="53">
        <v>0</v>
      </c>
      <c r="AQ30" s="52"/>
      <c r="AR30" s="53"/>
      <c r="AS30" s="518"/>
      <c r="AT30" s="518"/>
      <c r="AU30" s="53">
        <v>0</v>
      </c>
      <c r="AV30" s="52"/>
      <c r="AW30" s="53"/>
      <c r="AX30" s="518"/>
      <c r="AY30" s="518"/>
      <c r="AZ30" s="53">
        <v>0</v>
      </c>
      <c r="BA30" s="52"/>
      <c r="BB30" s="53"/>
      <c r="BC30" s="518"/>
      <c r="BD30" s="518"/>
      <c r="BE30" s="53">
        <v>0</v>
      </c>
      <c r="BF30" s="52"/>
      <c r="BG30" s="53"/>
      <c r="BH30" s="518"/>
      <c r="BI30" s="518"/>
      <c r="BJ30" s="53">
        <v>0</v>
      </c>
      <c r="BK30" s="52"/>
      <c r="BL30" s="53"/>
      <c r="BM30" s="518"/>
      <c r="BN30" s="518"/>
      <c r="BO30" s="53">
        <v>0</v>
      </c>
      <c r="BP30" s="52"/>
      <c r="BQ30" s="53"/>
      <c r="BR30" s="518"/>
      <c r="BS30" s="518"/>
      <c r="BT30" s="53">
        <f>SUM(L30:BO30)</f>
        <v>0</v>
      </c>
      <c r="BU30" s="52"/>
      <c r="BV30" s="53"/>
      <c r="BW30" s="465"/>
      <c r="BZ30" s="410"/>
      <c r="CA30" s="410"/>
    </row>
    <row r="31" spans="1:80" ht="12.75" customHeight="1" x14ac:dyDescent="0.2">
      <c r="A31" s="377"/>
      <c r="B31" s="377"/>
      <c r="D31" s="465" t="s">
        <v>382</v>
      </c>
      <c r="E31" s="518"/>
      <c r="F31" s="478"/>
      <c r="G31" s="102">
        <v>0</v>
      </c>
      <c r="H31" s="101"/>
      <c r="I31" s="53"/>
      <c r="J31" s="518"/>
      <c r="K31" s="522"/>
      <c r="L31" s="102">
        <v>332197</v>
      </c>
      <c r="M31" s="101"/>
      <c r="N31" s="53"/>
      <c r="O31" s="518"/>
      <c r="P31" s="522"/>
      <c r="Q31" s="102">
        <v>343402</v>
      </c>
      <c r="R31" s="101"/>
      <c r="S31" s="53"/>
      <c r="T31" s="518"/>
      <c r="U31" s="522"/>
      <c r="V31" s="102">
        <v>688455</v>
      </c>
      <c r="W31" s="101"/>
      <c r="X31" s="53"/>
      <c r="Y31" s="518"/>
      <c r="Z31" s="522"/>
      <c r="AA31" s="102">
        <v>881004</v>
      </c>
      <c r="AB31" s="101"/>
      <c r="AC31" s="53"/>
      <c r="AD31" s="518"/>
      <c r="AE31" s="522"/>
      <c r="AF31" s="102">
        <v>1121351</v>
      </c>
      <c r="AG31" s="101"/>
      <c r="AH31" s="53"/>
      <c r="AI31" s="518"/>
      <c r="AJ31" s="522"/>
      <c r="AK31" s="102">
        <v>839265</v>
      </c>
      <c r="AL31" s="101"/>
      <c r="AM31" s="53"/>
      <c r="AN31" s="518"/>
      <c r="AO31" s="522"/>
      <c r="AP31" s="102">
        <v>0</v>
      </c>
      <c r="AQ31" s="101"/>
      <c r="AR31" s="53"/>
      <c r="AS31" s="518"/>
      <c r="AT31" s="522"/>
      <c r="AU31" s="102">
        <v>0</v>
      </c>
      <c r="AV31" s="101"/>
      <c r="AW31" s="53"/>
      <c r="AX31" s="518"/>
      <c r="AY31" s="522"/>
      <c r="AZ31" s="102">
        <v>0</v>
      </c>
      <c r="BA31" s="101"/>
      <c r="BB31" s="53"/>
      <c r="BC31" s="518"/>
      <c r="BD31" s="522"/>
      <c r="BE31" s="102">
        <v>0</v>
      </c>
      <c r="BF31" s="101"/>
      <c r="BG31" s="53"/>
      <c r="BH31" s="518"/>
      <c r="BI31" s="522"/>
      <c r="BJ31" s="102">
        <v>0</v>
      </c>
      <c r="BK31" s="101"/>
      <c r="BL31" s="53"/>
      <c r="BM31" s="518"/>
      <c r="BN31" s="522"/>
      <c r="BO31" s="102">
        <v>0</v>
      </c>
      <c r="BP31" s="101"/>
      <c r="BQ31" s="53"/>
      <c r="BR31" s="518"/>
      <c r="BS31" s="522"/>
      <c r="BT31" s="102">
        <f>SUM(L31:BO31)</f>
        <v>4205674</v>
      </c>
      <c r="BU31" s="101"/>
      <c r="BV31" s="53"/>
      <c r="BW31" s="465"/>
      <c r="BZ31" s="410"/>
      <c r="CA31" s="410"/>
    </row>
    <row r="32" spans="1:80" x14ac:dyDescent="0.2">
      <c r="A32" s="377"/>
      <c r="B32" s="377"/>
      <c r="D32" s="465"/>
      <c r="E32" s="518"/>
      <c r="F32" s="377"/>
      <c r="G32" s="53"/>
      <c r="H32" s="53"/>
      <c r="I32" s="53"/>
      <c r="J32" s="518"/>
      <c r="K32" s="53"/>
      <c r="L32" s="53"/>
      <c r="M32" s="53"/>
      <c r="N32" s="53"/>
      <c r="O32" s="518"/>
      <c r="P32" s="53"/>
      <c r="Q32" s="53"/>
      <c r="R32" s="53"/>
      <c r="S32" s="53"/>
      <c r="T32" s="518"/>
      <c r="U32" s="53"/>
      <c r="V32" s="53"/>
      <c r="W32" s="53"/>
      <c r="X32" s="53"/>
      <c r="Y32" s="518"/>
      <c r="Z32" s="53"/>
      <c r="AA32" s="53"/>
      <c r="AB32" s="53"/>
      <c r="AC32" s="53"/>
      <c r="AD32" s="518"/>
      <c r="AE32" s="53"/>
      <c r="AF32" s="53"/>
      <c r="AG32" s="53"/>
      <c r="AH32" s="53"/>
      <c r="AI32" s="518"/>
      <c r="AJ32" s="53"/>
      <c r="AK32" s="53"/>
      <c r="AL32" s="53"/>
      <c r="AM32" s="53"/>
      <c r="AN32" s="518"/>
      <c r="AO32" s="53"/>
      <c r="AP32" s="53"/>
      <c r="AQ32" s="53"/>
      <c r="AR32" s="53"/>
      <c r="AS32" s="518"/>
      <c r="AT32" s="53"/>
      <c r="AU32" s="53"/>
      <c r="AV32" s="53"/>
      <c r="AW32" s="53"/>
      <c r="AX32" s="518"/>
      <c r="AY32" s="53"/>
      <c r="AZ32" s="53"/>
      <c r="BA32" s="53"/>
      <c r="BB32" s="53"/>
      <c r="BC32" s="518"/>
      <c r="BD32" s="53"/>
      <c r="BE32" s="53"/>
      <c r="BF32" s="53"/>
      <c r="BG32" s="53"/>
      <c r="BH32" s="518"/>
      <c r="BI32" s="53"/>
      <c r="BJ32" s="53"/>
      <c r="BK32" s="53"/>
      <c r="BL32" s="53"/>
      <c r="BM32" s="518"/>
      <c r="BN32" s="53"/>
      <c r="BO32" s="53"/>
      <c r="BP32" s="53"/>
      <c r="BQ32" s="53"/>
      <c r="BR32" s="518"/>
      <c r="BS32" s="53"/>
      <c r="BT32" s="53"/>
      <c r="BU32" s="53"/>
      <c r="BV32" s="53"/>
      <c r="BW32" s="465"/>
      <c r="BZ32" s="410"/>
      <c r="CA32" s="410"/>
    </row>
    <row r="33" spans="1:79" ht="12.75" customHeight="1" x14ac:dyDescent="0.2">
      <c r="A33" s="377"/>
      <c r="B33" s="377"/>
      <c r="D33" s="465" t="s">
        <v>383</v>
      </c>
      <c r="E33" s="518"/>
      <c r="F33" s="377"/>
      <c r="G33" s="53">
        <f>SUM(G34:G37)</f>
        <v>0</v>
      </c>
      <c r="H33" s="53"/>
      <c r="I33" s="53"/>
      <c r="J33" s="518"/>
      <c r="K33" s="53"/>
      <c r="L33" s="53">
        <f>SUM(L34:L37)</f>
        <v>785463</v>
      </c>
      <c r="M33" s="53"/>
      <c r="N33" s="53"/>
      <c r="O33" s="518"/>
      <c r="P33" s="53"/>
      <c r="Q33" s="53">
        <f>SUM(Q34:Q37)</f>
        <v>1376442.4509999999</v>
      </c>
      <c r="R33" s="53"/>
      <c r="S33" s="53"/>
      <c r="T33" s="518"/>
      <c r="U33" s="53"/>
      <c r="V33" s="53">
        <f>SUM(V34:V37)</f>
        <v>2570775</v>
      </c>
      <c r="W33" s="53"/>
      <c r="X33" s="53"/>
      <c r="Y33" s="518"/>
      <c r="Z33" s="53"/>
      <c r="AA33" s="53">
        <f>SUM(AA34:AA37)</f>
        <v>3551900</v>
      </c>
      <c r="AB33" s="53"/>
      <c r="AC33" s="53"/>
      <c r="AD33" s="518"/>
      <c r="AE33" s="53"/>
      <c r="AF33" s="53">
        <f>SUM(AF34:AF37)</f>
        <v>893093</v>
      </c>
      <c r="AG33" s="53"/>
      <c r="AH33" s="53"/>
      <c r="AI33" s="518"/>
      <c r="AJ33" s="53"/>
      <c r="AK33" s="53">
        <f>SUM(AK34:AK37)</f>
        <v>4673396</v>
      </c>
      <c r="AL33" s="53"/>
      <c r="AM33" s="53"/>
      <c r="AN33" s="518"/>
      <c r="AO33" s="53"/>
      <c r="AP33" s="53">
        <f>SUM(AP34:AP37)</f>
        <v>0</v>
      </c>
      <c r="AQ33" s="53"/>
      <c r="AR33" s="53"/>
      <c r="AS33" s="518"/>
      <c r="AT33" s="53"/>
      <c r="AU33" s="53">
        <f>SUM(AU34:AU37)</f>
        <v>0</v>
      </c>
      <c r="AV33" s="53"/>
      <c r="AW33" s="53"/>
      <c r="AX33" s="518"/>
      <c r="AY33" s="53"/>
      <c r="AZ33" s="53">
        <f>SUM(AZ34:AZ37)</f>
        <v>0</v>
      </c>
      <c r="BA33" s="53"/>
      <c r="BB33" s="53"/>
      <c r="BC33" s="518"/>
      <c r="BD33" s="53"/>
      <c r="BE33" s="53">
        <f>SUM(BE34:BE37)</f>
        <v>0</v>
      </c>
      <c r="BF33" s="53"/>
      <c r="BG33" s="53"/>
      <c r="BH33" s="518"/>
      <c r="BI33" s="53"/>
      <c r="BJ33" s="53">
        <f>SUM(BJ34:BJ37)</f>
        <v>0</v>
      </c>
      <c r="BK33" s="53"/>
      <c r="BL33" s="53"/>
      <c r="BM33" s="518"/>
      <c r="BN33" s="53"/>
      <c r="BO33" s="53">
        <f>SUM(BO34:BO37)</f>
        <v>0</v>
      </c>
      <c r="BP33" s="53"/>
      <c r="BQ33" s="53"/>
      <c r="BR33" s="518"/>
      <c r="BS33" s="53"/>
      <c r="BT33" s="53">
        <f>SUM(BT34:BT37)</f>
        <v>13851069.450999999</v>
      </c>
      <c r="BU33" s="53"/>
      <c r="BV33" s="53"/>
      <c r="BW33" s="465"/>
      <c r="BZ33" s="410"/>
      <c r="CA33" s="410"/>
    </row>
    <row r="34" spans="1:79" ht="12.75" customHeight="1" x14ac:dyDescent="0.2">
      <c r="A34" s="377"/>
      <c r="B34" s="377"/>
      <c r="D34" s="465" t="s">
        <v>378</v>
      </c>
      <c r="E34" s="518"/>
      <c r="F34" s="469"/>
      <c r="G34" s="520">
        <v>0</v>
      </c>
      <c r="H34" s="521"/>
      <c r="I34" s="53"/>
      <c r="J34" s="518"/>
      <c r="K34" s="519"/>
      <c r="L34" s="520">
        <f>535000-248436</f>
        <v>286564</v>
      </c>
      <c r="M34" s="521"/>
      <c r="N34" s="53"/>
      <c r="O34" s="518"/>
      <c r="P34" s="519"/>
      <c r="Q34" s="520">
        <f>930000-392511</f>
        <v>537489</v>
      </c>
      <c r="R34" s="521"/>
      <c r="S34" s="53"/>
      <c r="T34" s="518"/>
      <c r="U34" s="519"/>
      <c r="V34" s="520">
        <f>1730000-716748</f>
        <v>1013252</v>
      </c>
      <c r="W34" s="521"/>
      <c r="X34" s="53"/>
      <c r="Y34" s="518"/>
      <c r="Z34" s="519"/>
      <c r="AA34" s="520">
        <f>2390000-1077832</f>
        <v>1312168</v>
      </c>
      <c r="AB34" s="521"/>
      <c r="AC34" s="53"/>
      <c r="AD34" s="518"/>
      <c r="AE34" s="519"/>
      <c r="AF34" s="520">
        <f>605000-265407</f>
        <v>339593</v>
      </c>
      <c r="AG34" s="521"/>
      <c r="AH34" s="53"/>
      <c r="AI34" s="518"/>
      <c r="AJ34" s="519"/>
      <c r="AK34" s="520">
        <f>3165000-1330925</f>
        <v>1834075</v>
      </c>
      <c r="AL34" s="521"/>
      <c r="AM34" s="53"/>
      <c r="AN34" s="518"/>
      <c r="AO34" s="519"/>
      <c r="AP34" s="520">
        <v>0</v>
      </c>
      <c r="AQ34" s="521"/>
      <c r="AR34" s="53"/>
      <c r="AS34" s="518"/>
      <c r="AT34" s="519"/>
      <c r="AU34" s="520">
        <v>0</v>
      </c>
      <c r="AV34" s="521"/>
      <c r="AW34" s="53"/>
      <c r="AX34" s="518"/>
      <c r="AY34" s="519"/>
      <c r="AZ34" s="520">
        <v>0</v>
      </c>
      <c r="BA34" s="521"/>
      <c r="BB34" s="53"/>
      <c r="BC34" s="518"/>
      <c r="BD34" s="519"/>
      <c r="BE34" s="520">
        <v>0</v>
      </c>
      <c r="BF34" s="521"/>
      <c r="BG34" s="53"/>
      <c r="BH34" s="518"/>
      <c r="BI34" s="519"/>
      <c r="BJ34" s="520">
        <v>0</v>
      </c>
      <c r="BK34" s="521"/>
      <c r="BL34" s="53"/>
      <c r="BM34" s="518"/>
      <c r="BN34" s="519"/>
      <c r="BO34" s="520">
        <v>0</v>
      </c>
      <c r="BP34" s="521"/>
      <c r="BQ34" s="53"/>
      <c r="BR34" s="518"/>
      <c r="BS34" s="519"/>
      <c r="BT34" s="520">
        <f>SUM(L34:BO34)</f>
        <v>5323141</v>
      </c>
      <c r="BU34" s="521"/>
      <c r="BV34" s="53"/>
      <c r="BW34" s="465"/>
      <c r="BZ34" s="410"/>
      <c r="CA34" s="410"/>
    </row>
    <row r="35" spans="1:79" ht="12.75" customHeight="1" x14ac:dyDescent="0.2">
      <c r="A35" s="377"/>
      <c r="B35" s="377"/>
      <c r="D35" s="465" t="s">
        <v>380</v>
      </c>
      <c r="E35" s="518"/>
      <c r="F35" s="417"/>
      <c r="G35" s="53">
        <v>0</v>
      </c>
      <c r="H35" s="52"/>
      <c r="I35" s="53"/>
      <c r="J35" s="518"/>
      <c r="K35" s="518"/>
      <c r="L35" s="53">
        <v>248436</v>
      </c>
      <c r="M35" s="52"/>
      <c r="N35" s="53"/>
      <c r="O35" s="518"/>
      <c r="P35" s="518"/>
      <c r="Q35" s="53">
        <v>392511</v>
      </c>
      <c r="R35" s="52"/>
      <c r="S35" s="53"/>
      <c r="T35" s="518"/>
      <c r="U35" s="518"/>
      <c r="V35" s="53">
        <v>716748</v>
      </c>
      <c r="W35" s="52"/>
      <c r="X35" s="53"/>
      <c r="Y35" s="518"/>
      <c r="Z35" s="518"/>
      <c r="AA35" s="53">
        <v>1077832</v>
      </c>
      <c r="AB35" s="52"/>
      <c r="AC35" s="53"/>
      <c r="AD35" s="518"/>
      <c r="AE35" s="518"/>
      <c r="AF35" s="53">
        <v>265407</v>
      </c>
      <c r="AG35" s="52"/>
      <c r="AH35" s="53"/>
      <c r="AI35" s="518"/>
      <c r="AJ35" s="518"/>
      <c r="AK35" s="53">
        <v>1330925</v>
      </c>
      <c r="AL35" s="52"/>
      <c r="AM35" s="53"/>
      <c r="AN35" s="518"/>
      <c r="AO35" s="518"/>
      <c r="AP35" s="53">
        <v>0</v>
      </c>
      <c r="AQ35" s="52"/>
      <c r="AR35" s="53"/>
      <c r="AS35" s="518"/>
      <c r="AT35" s="518"/>
      <c r="AU35" s="53">
        <v>0</v>
      </c>
      <c r="AV35" s="52"/>
      <c r="AW35" s="53"/>
      <c r="AX35" s="518"/>
      <c r="AY35" s="518"/>
      <c r="AZ35" s="53">
        <v>0</v>
      </c>
      <c r="BA35" s="52"/>
      <c r="BB35" s="53"/>
      <c r="BC35" s="518"/>
      <c r="BD35" s="518"/>
      <c r="BE35" s="53">
        <v>0</v>
      </c>
      <c r="BF35" s="52"/>
      <c r="BG35" s="53"/>
      <c r="BH35" s="518"/>
      <c r="BI35" s="518"/>
      <c r="BJ35" s="53">
        <v>0</v>
      </c>
      <c r="BK35" s="52"/>
      <c r="BL35" s="53"/>
      <c r="BM35" s="518"/>
      <c r="BN35" s="518"/>
      <c r="BO35" s="53">
        <v>0</v>
      </c>
      <c r="BP35" s="52"/>
      <c r="BQ35" s="53"/>
      <c r="BR35" s="518"/>
      <c r="BS35" s="518"/>
      <c r="BT35" s="53">
        <f>SUM(L35:BO35)</f>
        <v>4031859</v>
      </c>
      <c r="BU35" s="52"/>
      <c r="BV35" s="53"/>
      <c r="BW35" s="465"/>
      <c r="BZ35" s="410"/>
      <c r="CA35" s="410"/>
    </row>
    <row r="36" spans="1:79" ht="12.75" customHeight="1" x14ac:dyDescent="0.2">
      <c r="A36" s="377"/>
      <c r="B36" s="377"/>
      <c r="D36" s="465" t="s">
        <v>381</v>
      </c>
      <c r="E36" s="518"/>
      <c r="F36" s="417"/>
      <c r="G36" s="53">
        <v>0</v>
      </c>
      <c r="H36" s="52"/>
      <c r="I36" s="53"/>
      <c r="J36" s="518"/>
      <c r="K36" s="518"/>
      <c r="L36" s="53">
        <v>0</v>
      </c>
      <c r="M36" s="52"/>
      <c r="N36" s="53"/>
      <c r="O36" s="518"/>
      <c r="P36" s="518"/>
      <c r="Q36" s="53">
        <v>0</v>
      </c>
      <c r="R36" s="52"/>
      <c r="S36" s="53"/>
      <c r="T36" s="518"/>
      <c r="U36" s="518"/>
      <c r="V36" s="53">
        <v>0</v>
      </c>
      <c r="W36" s="52"/>
      <c r="X36" s="53"/>
      <c r="Y36" s="518"/>
      <c r="Z36" s="518"/>
      <c r="AA36" s="53">
        <v>0</v>
      </c>
      <c r="AB36" s="52"/>
      <c r="AC36" s="53"/>
      <c r="AD36" s="518"/>
      <c r="AE36" s="518"/>
      <c r="AF36" s="53">
        <v>0</v>
      </c>
      <c r="AG36" s="52"/>
      <c r="AH36" s="53"/>
      <c r="AI36" s="518"/>
      <c r="AJ36" s="518"/>
      <c r="AK36" s="53">
        <v>0</v>
      </c>
      <c r="AL36" s="52"/>
      <c r="AM36" s="53"/>
      <c r="AN36" s="518"/>
      <c r="AO36" s="518"/>
      <c r="AP36" s="53">
        <v>0</v>
      </c>
      <c r="AQ36" s="52"/>
      <c r="AR36" s="53"/>
      <c r="AS36" s="518"/>
      <c r="AT36" s="518"/>
      <c r="AU36" s="53">
        <v>0</v>
      </c>
      <c r="AV36" s="52"/>
      <c r="AW36" s="53"/>
      <c r="AX36" s="518"/>
      <c r="AY36" s="518"/>
      <c r="AZ36" s="53">
        <v>0</v>
      </c>
      <c r="BA36" s="52"/>
      <c r="BB36" s="53"/>
      <c r="BC36" s="518"/>
      <c r="BD36" s="518"/>
      <c r="BE36" s="53">
        <v>0</v>
      </c>
      <c r="BF36" s="52"/>
      <c r="BG36" s="53"/>
      <c r="BH36" s="518"/>
      <c r="BI36" s="518"/>
      <c r="BJ36" s="53">
        <v>0</v>
      </c>
      <c r="BK36" s="52"/>
      <c r="BL36" s="53"/>
      <c r="BM36" s="518"/>
      <c r="BN36" s="518"/>
      <c r="BO36" s="53">
        <v>0</v>
      </c>
      <c r="BP36" s="52"/>
      <c r="BQ36" s="53"/>
      <c r="BR36" s="518"/>
      <c r="BS36" s="518"/>
      <c r="BT36" s="53">
        <f>SUM(L36:BO36)</f>
        <v>0</v>
      </c>
      <c r="BU36" s="52"/>
      <c r="BV36" s="53"/>
      <c r="BW36" s="465"/>
      <c r="BZ36" s="410"/>
      <c r="CA36" s="410"/>
    </row>
    <row r="37" spans="1:79" ht="12.75" customHeight="1" x14ac:dyDescent="0.2">
      <c r="A37" s="377"/>
      <c r="B37" s="377"/>
      <c r="D37" s="465" t="s">
        <v>382</v>
      </c>
      <c r="E37" s="518"/>
      <c r="F37" s="478"/>
      <c r="G37" s="102">
        <v>0</v>
      </c>
      <c r="H37" s="101"/>
      <c r="I37" s="53"/>
      <c r="J37" s="518"/>
      <c r="K37" s="522"/>
      <c r="L37" s="102">
        <v>250463</v>
      </c>
      <c r="M37" s="101"/>
      <c r="N37" s="53"/>
      <c r="O37" s="518"/>
      <c r="P37" s="522"/>
      <c r="Q37" s="102">
        <v>446442.451</v>
      </c>
      <c r="R37" s="101"/>
      <c r="S37" s="53"/>
      <c r="T37" s="518"/>
      <c r="U37" s="522"/>
      <c r="V37" s="102">
        <v>840775</v>
      </c>
      <c r="W37" s="101"/>
      <c r="X37" s="53"/>
      <c r="Y37" s="518"/>
      <c r="Z37" s="522"/>
      <c r="AA37" s="102">
        <v>1161900</v>
      </c>
      <c r="AB37" s="101"/>
      <c r="AC37" s="53"/>
      <c r="AD37" s="518"/>
      <c r="AE37" s="522"/>
      <c r="AF37" s="102">
        <v>288093</v>
      </c>
      <c r="AG37" s="101"/>
      <c r="AH37" s="53"/>
      <c r="AI37" s="518"/>
      <c r="AJ37" s="522"/>
      <c r="AK37" s="102">
        <v>1508396</v>
      </c>
      <c r="AL37" s="101"/>
      <c r="AM37" s="53"/>
      <c r="AN37" s="518"/>
      <c r="AO37" s="522"/>
      <c r="AP37" s="102">
        <v>0</v>
      </c>
      <c r="AQ37" s="101"/>
      <c r="AR37" s="53"/>
      <c r="AS37" s="518"/>
      <c r="AT37" s="522"/>
      <c r="AU37" s="102">
        <v>0</v>
      </c>
      <c r="AV37" s="101"/>
      <c r="AW37" s="53"/>
      <c r="AX37" s="518"/>
      <c r="AY37" s="522"/>
      <c r="AZ37" s="102">
        <v>0</v>
      </c>
      <c r="BA37" s="101"/>
      <c r="BB37" s="53"/>
      <c r="BC37" s="518"/>
      <c r="BD37" s="522"/>
      <c r="BE37" s="102">
        <v>0</v>
      </c>
      <c r="BF37" s="101"/>
      <c r="BG37" s="53"/>
      <c r="BH37" s="518"/>
      <c r="BI37" s="522"/>
      <c r="BJ37" s="102">
        <v>0</v>
      </c>
      <c r="BK37" s="101"/>
      <c r="BL37" s="53"/>
      <c r="BM37" s="518"/>
      <c r="BN37" s="522"/>
      <c r="BO37" s="102">
        <v>0</v>
      </c>
      <c r="BP37" s="101"/>
      <c r="BQ37" s="53"/>
      <c r="BR37" s="518"/>
      <c r="BS37" s="522"/>
      <c r="BT37" s="102">
        <f>SUM(L37:BO37)</f>
        <v>4496069.4509999994</v>
      </c>
      <c r="BU37" s="101"/>
      <c r="BV37" s="53"/>
      <c r="BW37" s="465"/>
      <c r="BZ37" s="410"/>
      <c r="CA37" s="410"/>
    </row>
    <row r="38" spans="1:79" ht="12.75" customHeight="1" x14ac:dyDescent="0.2">
      <c r="A38" s="377"/>
      <c r="B38" s="377"/>
      <c r="D38" s="465"/>
      <c r="E38" s="518"/>
      <c r="F38" s="377"/>
      <c r="G38" s="53"/>
      <c r="H38" s="53"/>
      <c r="I38" s="53"/>
      <c r="J38" s="518"/>
      <c r="K38" s="53"/>
      <c r="L38" s="53"/>
      <c r="M38" s="53"/>
      <c r="N38" s="53"/>
      <c r="O38" s="518"/>
      <c r="P38" s="53"/>
      <c r="Q38" s="53"/>
      <c r="R38" s="53"/>
      <c r="S38" s="53"/>
      <c r="T38" s="518"/>
      <c r="U38" s="53"/>
      <c r="V38" s="53"/>
      <c r="W38" s="53"/>
      <c r="X38" s="53"/>
      <c r="Y38" s="518"/>
      <c r="Z38" s="53"/>
      <c r="AA38" s="53"/>
      <c r="AB38" s="53"/>
      <c r="AC38" s="53"/>
      <c r="AD38" s="518"/>
      <c r="AE38" s="53"/>
      <c r="AF38" s="53"/>
      <c r="AG38" s="53"/>
      <c r="AH38" s="53"/>
      <c r="AI38" s="518"/>
      <c r="AJ38" s="53"/>
      <c r="AK38" s="53"/>
      <c r="AL38" s="53"/>
      <c r="AM38" s="53"/>
      <c r="AN38" s="518"/>
      <c r="AO38" s="53"/>
      <c r="AP38" s="53"/>
      <c r="AQ38" s="53"/>
      <c r="AR38" s="53"/>
      <c r="AS38" s="518"/>
      <c r="AT38" s="53"/>
      <c r="AU38" s="53"/>
      <c r="AV38" s="53"/>
      <c r="AW38" s="53"/>
      <c r="AX38" s="518"/>
      <c r="AY38" s="53"/>
      <c r="AZ38" s="53"/>
      <c r="BA38" s="53"/>
      <c r="BB38" s="53"/>
      <c r="BC38" s="518"/>
      <c r="BD38" s="53"/>
      <c r="BE38" s="53"/>
      <c r="BF38" s="53"/>
      <c r="BG38" s="53"/>
      <c r="BH38" s="518"/>
      <c r="BI38" s="53"/>
      <c r="BJ38" s="53"/>
      <c r="BK38" s="53"/>
      <c r="BL38" s="53"/>
      <c r="BM38" s="518"/>
      <c r="BN38" s="53"/>
      <c r="BO38" s="53"/>
      <c r="BP38" s="53"/>
      <c r="BQ38" s="53"/>
      <c r="BR38" s="518"/>
      <c r="BS38" s="53"/>
      <c r="BT38" s="53"/>
      <c r="BU38" s="53"/>
      <c r="BV38" s="53"/>
      <c r="BW38" s="465"/>
      <c r="BZ38" s="410"/>
      <c r="CA38" s="410"/>
    </row>
    <row r="39" spans="1:79" ht="12.75" customHeight="1" x14ac:dyDescent="0.2">
      <c r="A39" s="377"/>
      <c r="B39" s="377"/>
      <c r="D39" s="465" t="s">
        <v>384</v>
      </c>
      <c r="E39" s="518"/>
      <c r="F39" s="377"/>
      <c r="G39" s="53">
        <f>SUM(G40:G43)</f>
        <v>0</v>
      </c>
      <c r="H39" s="53"/>
      <c r="I39" s="53"/>
      <c r="J39" s="518"/>
      <c r="K39" s="53"/>
      <c r="L39" s="53">
        <f>SUM(L40:L43)</f>
        <v>318599</v>
      </c>
      <c r="M39" s="53"/>
      <c r="N39" s="53"/>
      <c r="O39" s="518"/>
      <c r="P39" s="53"/>
      <c r="Q39" s="53">
        <f>SUM(Q40:Q43)</f>
        <v>528391</v>
      </c>
      <c r="R39" s="53"/>
      <c r="S39" s="53"/>
      <c r="T39" s="518"/>
      <c r="U39" s="53"/>
      <c r="V39" s="53">
        <f>SUM(V40:V43)</f>
        <v>861012</v>
      </c>
      <c r="W39" s="53"/>
      <c r="X39" s="53"/>
      <c r="Y39" s="518"/>
      <c r="Z39" s="53"/>
      <c r="AA39" s="53">
        <f>SUM(AA40:AA43)</f>
        <v>3064348</v>
      </c>
      <c r="AB39" s="53"/>
      <c r="AC39" s="53"/>
      <c r="AD39" s="518"/>
      <c r="AE39" s="53"/>
      <c r="AF39" s="53">
        <f>SUM(AF40:AF43)</f>
        <v>3292135</v>
      </c>
      <c r="AG39" s="53"/>
      <c r="AH39" s="53"/>
      <c r="AI39" s="518"/>
      <c r="AJ39" s="53"/>
      <c r="AK39" s="53">
        <f>SUM(AK40:AK43)</f>
        <v>3720536</v>
      </c>
      <c r="AL39" s="53"/>
      <c r="AM39" s="53"/>
      <c r="AN39" s="518"/>
      <c r="AO39" s="53"/>
      <c r="AP39" s="53">
        <f>SUM(AP40:AP43)</f>
        <v>0</v>
      </c>
      <c r="AQ39" s="53"/>
      <c r="AR39" s="53"/>
      <c r="AS39" s="518"/>
      <c r="AT39" s="53"/>
      <c r="AU39" s="53">
        <f>SUM(AU40:AU43)</f>
        <v>0</v>
      </c>
      <c r="AV39" s="53"/>
      <c r="AW39" s="53"/>
      <c r="AX39" s="518"/>
      <c r="AY39" s="53"/>
      <c r="AZ39" s="53">
        <f>SUM(AZ40:AZ43)</f>
        <v>0</v>
      </c>
      <c r="BA39" s="53"/>
      <c r="BB39" s="53"/>
      <c r="BC39" s="518"/>
      <c r="BD39" s="53"/>
      <c r="BE39" s="53">
        <f>SUM(BE40:BE43)</f>
        <v>0</v>
      </c>
      <c r="BF39" s="53"/>
      <c r="BG39" s="53"/>
      <c r="BH39" s="518"/>
      <c r="BI39" s="53"/>
      <c r="BJ39" s="53">
        <f>SUM(BJ40:BJ43)</f>
        <v>0</v>
      </c>
      <c r="BK39" s="53"/>
      <c r="BL39" s="53"/>
      <c r="BM39" s="518"/>
      <c r="BN39" s="53"/>
      <c r="BO39" s="53">
        <f>SUM(BO40:BO43)</f>
        <v>0</v>
      </c>
      <c r="BP39" s="53"/>
      <c r="BQ39" s="53"/>
      <c r="BR39" s="518"/>
      <c r="BS39" s="53"/>
      <c r="BT39" s="53">
        <f>SUM(BT40:BT43)</f>
        <v>11785021</v>
      </c>
      <c r="BU39" s="53"/>
      <c r="BV39" s="53"/>
      <c r="BW39" s="465"/>
      <c r="BZ39" s="410"/>
      <c r="CA39" s="410"/>
    </row>
    <row r="40" spans="1:79" ht="12.75" customHeight="1" x14ac:dyDescent="0.2">
      <c r="A40" s="377"/>
      <c r="B40" s="377"/>
      <c r="D40" s="465" t="s">
        <v>378</v>
      </c>
      <c r="E40" s="518"/>
      <c r="F40" s="469"/>
      <c r="G40" s="520">
        <v>0</v>
      </c>
      <c r="H40" s="521"/>
      <c r="I40" s="53"/>
      <c r="J40" s="518"/>
      <c r="K40" s="519"/>
      <c r="L40" s="520">
        <f>230000-98825</f>
        <v>131175</v>
      </c>
      <c r="M40" s="521"/>
      <c r="N40" s="53"/>
      <c r="O40" s="518"/>
      <c r="P40" s="519"/>
      <c r="Q40" s="520">
        <f>380000-140954</f>
        <v>239046</v>
      </c>
      <c r="R40" s="521"/>
      <c r="S40" s="53"/>
      <c r="T40" s="518"/>
      <c r="U40" s="519"/>
      <c r="V40" s="520">
        <f>615000-271529</f>
        <v>343471</v>
      </c>
      <c r="W40" s="521"/>
      <c r="X40" s="53"/>
      <c r="Y40" s="518"/>
      <c r="Z40" s="519"/>
      <c r="AA40" s="520">
        <f>2190000-1062323</f>
        <v>1127677</v>
      </c>
      <c r="AB40" s="521"/>
      <c r="AC40" s="53"/>
      <c r="AD40" s="518"/>
      <c r="AE40" s="519"/>
      <c r="AF40" s="520">
        <f>2365000-1127992</f>
        <v>1237008</v>
      </c>
      <c r="AG40" s="521"/>
      <c r="AH40" s="53"/>
      <c r="AI40" s="518"/>
      <c r="AJ40" s="519"/>
      <c r="AK40" s="520">
        <f>2675000-1194679</f>
        <v>1480321</v>
      </c>
      <c r="AL40" s="521"/>
      <c r="AM40" s="53"/>
      <c r="AN40" s="518"/>
      <c r="AO40" s="519"/>
      <c r="AP40" s="520">
        <v>0</v>
      </c>
      <c r="AQ40" s="521"/>
      <c r="AR40" s="53"/>
      <c r="AS40" s="518"/>
      <c r="AT40" s="519"/>
      <c r="AU40" s="520">
        <v>0</v>
      </c>
      <c r="AV40" s="521"/>
      <c r="AW40" s="53"/>
      <c r="AX40" s="518"/>
      <c r="AY40" s="519"/>
      <c r="AZ40" s="520">
        <v>0</v>
      </c>
      <c r="BA40" s="521"/>
      <c r="BB40" s="53"/>
      <c r="BC40" s="518"/>
      <c r="BD40" s="519"/>
      <c r="BE40" s="520">
        <v>0</v>
      </c>
      <c r="BF40" s="521"/>
      <c r="BG40" s="53"/>
      <c r="BH40" s="518"/>
      <c r="BI40" s="519"/>
      <c r="BJ40" s="520">
        <v>0</v>
      </c>
      <c r="BK40" s="521"/>
      <c r="BL40" s="53"/>
      <c r="BM40" s="518"/>
      <c r="BN40" s="519"/>
      <c r="BO40" s="520">
        <v>0</v>
      </c>
      <c r="BP40" s="521"/>
      <c r="BQ40" s="53"/>
      <c r="BR40" s="518"/>
      <c r="BS40" s="519"/>
      <c r="BT40" s="520">
        <f>SUM(L40:BO40)</f>
        <v>4558698</v>
      </c>
      <c r="BU40" s="521"/>
      <c r="BV40" s="53"/>
      <c r="BW40" s="465"/>
      <c r="BZ40" s="410"/>
      <c r="CA40" s="410"/>
    </row>
    <row r="41" spans="1:79" ht="12.75" customHeight="1" x14ac:dyDescent="0.2">
      <c r="A41" s="377"/>
      <c r="B41" s="377"/>
      <c r="D41" s="465" t="s">
        <v>380</v>
      </c>
      <c r="E41" s="518"/>
      <c r="F41" s="417"/>
      <c r="G41" s="53">
        <v>0</v>
      </c>
      <c r="H41" s="52"/>
      <c r="I41" s="53"/>
      <c r="J41" s="518"/>
      <c r="K41" s="518"/>
      <c r="L41" s="53">
        <v>98825</v>
      </c>
      <c r="M41" s="52"/>
      <c r="N41" s="53"/>
      <c r="O41" s="518"/>
      <c r="P41" s="518"/>
      <c r="Q41" s="53">
        <v>140954</v>
      </c>
      <c r="R41" s="52"/>
      <c r="S41" s="53"/>
      <c r="T41" s="518"/>
      <c r="U41" s="518"/>
      <c r="V41" s="53">
        <v>271529</v>
      </c>
      <c r="W41" s="52"/>
      <c r="X41" s="53"/>
      <c r="Y41" s="518"/>
      <c r="Z41" s="518"/>
      <c r="AA41" s="53">
        <v>1062323</v>
      </c>
      <c r="AB41" s="52"/>
      <c r="AC41" s="53"/>
      <c r="AD41" s="518"/>
      <c r="AE41" s="518"/>
      <c r="AF41" s="53">
        <v>1127992</v>
      </c>
      <c r="AG41" s="52"/>
      <c r="AH41" s="53"/>
      <c r="AI41" s="518"/>
      <c r="AJ41" s="518"/>
      <c r="AK41" s="53">
        <v>1194679</v>
      </c>
      <c r="AL41" s="52"/>
      <c r="AM41" s="53"/>
      <c r="AN41" s="518"/>
      <c r="AO41" s="518"/>
      <c r="AP41" s="53">
        <v>0</v>
      </c>
      <c r="AQ41" s="52"/>
      <c r="AR41" s="53"/>
      <c r="AS41" s="518"/>
      <c r="AT41" s="518"/>
      <c r="AU41" s="53">
        <v>0</v>
      </c>
      <c r="AV41" s="52"/>
      <c r="AW41" s="53"/>
      <c r="AX41" s="518"/>
      <c r="AY41" s="518"/>
      <c r="AZ41" s="53">
        <v>0</v>
      </c>
      <c r="BA41" s="52"/>
      <c r="BB41" s="53"/>
      <c r="BC41" s="518"/>
      <c r="BD41" s="518"/>
      <c r="BE41" s="53">
        <v>0</v>
      </c>
      <c r="BF41" s="52"/>
      <c r="BG41" s="53"/>
      <c r="BH41" s="518"/>
      <c r="BI41" s="518"/>
      <c r="BJ41" s="53">
        <v>0</v>
      </c>
      <c r="BK41" s="52"/>
      <c r="BL41" s="53"/>
      <c r="BM41" s="518"/>
      <c r="BN41" s="518"/>
      <c r="BO41" s="53">
        <v>0</v>
      </c>
      <c r="BP41" s="52"/>
      <c r="BQ41" s="53"/>
      <c r="BR41" s="518"/>
      <c r="BS41" s="518"/>
      <c r="BT41" s="53">
        <f>SUM(L41:BO41)</f>
        <v>3896302</v>
      </c>
      <c r="BU41" s="52"/>
      <c r="BV41" s="53"/>
      <c r="BW41" s="465"/>
      <c r="BZ41" s="410"/>
      <c r="CA41" s="410"/>
    </row>
    <row r="42" spans="1:79" ht="12.75" customHeight="1" x14ac:dyDescent="0.2">
      <c r="A42" s="377"/>
      <c r="B42" s="377"/>
      <c r="D42" s="465" t="s">
        <v>381</v>
      </c>
      <c r="E42" s="518"/>
      <c r="F42" s="417"/>
      <c r="G42" s="53">
        <v>0</v>
      </c>
      <c r="H42" s="52"/>
      <c r="I42" s="53"/>
      <c r="J42" s="518"/>
      <c r="K42" s="518"/>
      <c r="L42" s="53">
        <v>0</v>
      </c>
      <c r="M42" s="52"/>
      <c r="N42" s="53"/>
      <c r="O42" s="518"/>
      <c r="P42" s="518"/>
      <c r="Q42" s="53">
        <v>0</v>
      </c>
      <c r="R42" s="52"/>
      <c r="S42" s="53"/>
      <c r="T42" s="518"/>
      <c r="U42" s="518"/>
      <c r="V42" s="53">
        <v>0</v>
      </c>
      <c r="W42" s="52"/>
      <c r="X42" s="53"/>
      <c r="Y42" s="518"/>
      <c r="Z42" s="518"/>
      <c r="AA42" s="53">
        <v>0</v>
      </c>
      <c r="AB42" s="52"/>
      <c r="AC42" s="53"/>
      <c r="AD42" s="518"/>
      <c r="AE42" s="518"/>
      <c r="AF42" s="53">
        <v>0</v>
      </c>
      <c r="AG42" s="52"/>
      <c r="AH42" s="53"/>
      <c r="AI42" s="518"/>
      <c r="AJ42" s="518"/>
      <c r="AK42" s="53">
        <v>0</v>
      </c>
      <c r="AL42" s="52"/>
      <c r="AM42" s="53"/>
      <c r="AN42" s="518"/>
      <c r="AO42" s="518"/>
      <c r="AP42" s="53">
        <v>0</v>
      </c>
      <c r="AQ42" s="52"/>
      <c r="AR42" s="53"/>
      <c r="AS42" s="518"/>
      <c r="AT42" s="518"/>
      <c r="AU42" s="53">
        <v>0</v>
      </c>
      <c r="AV42" s="52"/>
      <c r="AW42" s="53"/>
      <c r="AX42" s="518"/>
      <c r="AY42" s="518"/>
      <c r="AZ42" s="53">
        <v>0</v>
      </c>
      <c r="BA42" s="52"/>
      <c r="BB42" s="53"/>
      <c r="BC42" s="518"/>
      <c r="BD42" s="518"/>
      <c r="BE42" s="53">
        <v>0</v>
      </c>
      <c r="BF42" s="52"/>
      <c r="BG42" s="53"/>
      <c r="BH42" s="518"/>
      <c r="BI42" s="518"/>
      <c r="BJ42" s="53">
        <v>0</v>
      </c>
      <c r="BK42" s="52"/>
      <c r="BL42" s="53"/>
      <c r="BM42" s="518"/>
      <c r="BN42" s="518"/>
      <c r="BO42" s="53">
        <v>0</v>
      </c>
      <c r="BP42" s="52"/>
      <c r="BQ42" s="53"/>
      <c r="BR42" s="518"/>
      <c r="BS42" s="518"/>
      <c r="BT42" s="53">
        <f>SUM(L42:BO42)</f>
        <v>0</v>
      </c>
      <c r="BU42" s="52"/>
      <c r="BV42" s="53"/>
      <c r="BW42" s="465"/>
      <c r="BZ42" s="410"/>
      <c r="CA42" s="410"/>
    </row>
    <row r="43" spans="1:79" ht="12.75" customHeight="1" x14ac:dyDescent="0.2">
      <c r="A43" s="377"/>
      <c r="B43" s="377"/>
      <c r="D43" s="465" t="s">
        <v>382</v>
      </c>
      <c r="E43" s="518"/>
      <c r="F43" s="478"/>
      <c r="G43" s="102">
        <v>0</v>
      </c>
      <c r="H43" s="101"/>
      <c r="I43" s="53"/>
      <c r="J43" s="518"/>
      <c r="K43" s="522"/>
      <c r="L43" s="102">
        <v>88599</v>
      </c>
      <c r="M43" s="101"/>
      <c r="N43" s="53"/>
      <c r="O43" s="518"/>
      <c r="P43" s="522"/>
      <c r="Q43" s="102">
        <v>148391</v>
      </c>
      <c r="R43" s="101"/>
      <c r="S43" s="53"/>
      <c r="T43" s="518"/>
      <c r="U43" s="522"/>
      <c r="V43" s="102">
        <v>246012</v>
      </c>
      <c r="W43" s="101"/>
      <c r="X43" s="53"/>
      <c r="Y43" s="518"/>
      <c r="Z43" s="522"/>
      <c r="AA43" s="102">
        <v>874348</v>
      </c>
      <c r="AB43" s="101"/>
      <c r="AC43" s="53"/>
      <c r="AD43" s="518"/>
      <c r="AE43" s="522"/>
      <c r="AF43" s="102">
        <v>927135</v>
      </c>
      <c r="AG43" s="101"/>
      <c r="AH43" s="53"/>
      <c r="AI43" s="518"/>
      <c r="AJ43" s="522"/>
      <c r="AK43" s="102">
        <v>1045536</v>
      </c>
      <c r="AL43" s="101"/>
      <c r="AM43" s="53"/>
      <c r="AN43" s="518"/>
      <c r="AO43" s="522"/>
      <c r="AP43" s="102">
        <v>0</v>
      </c>
      <c r="AQ43" s="101"/>
      <c r="AR43" s="53"/>
      <c r="AS43" s="518"/>
      <c r="AT43" s="522"/>
      <c r="AU43" s="102">
        <v>0</v>
      </c>
      <c r="AV43" s="101"/>
      <c r="AW43" s="53"/>
      <c r="AX43" s="518"/>
      <c r="AY43" s="522"/>
      <c r="AZ43" s="102">
        <v>0</v>
      </c>
      <c r="BA43" s="101"/>
      <c r="BB43" s="53"/>
      <c r="BC43" s="518"/>
      <c r="BD43" s="522"/>
      <c r="BE43" s="102">
        <v>0</v>
      </c>
      <c r="BF43" s="101"/>
      <c r="BG43" s="53"/>
      <c r="BH43" s="518"/>
      <c r="BI43" s="522"/>
      <c r="BJ43" s="102">
        <v>0</v>
      </c>
      <c r="BK43" s="101"/>
      <c r="BL43" s="53"/>
      <c r="BM43" s="518"/>
      <c r="BN43" s="522"/>
      <c r="BO43" s="102">
        <v>0</v>
      </c>
      <c r="BP43" s="101"/>
      <c r="BQ43" s="53"/>
      <c r="BR43" s="518"/>
      <c r="BS43" s="522"/>
      <c r="BT43" s="102">
        <f>SUM(L43:BO43)</f>
        <v>3330021</v>
      </c>
      <c r="BU43" s="101"/>
      <c r="BV43" s="53"/>
      <c r="BW43" s="465"/>
      <c r="BZ43" s="410"/>
      <c r="CA43" s="410"/>
    </row>
    <row r="44" spans="1:79" x14ac:dyDescent="0.2">
      <c r="A44" s="377"/>
      <c r="B44" s="377"/>
      <c r="D44" s="465"/>
      <c r="E44" s="518"/>
      <c r="F44" s="377"/>
      <c r="G44" s="53"/>
      <c r="H44" s="53"/>
      <c r="I44" s="53"/>
      <c r="J44" s="518"/>
      <c r="K44" s="53"/>
      <c r="L44" s="53"/>
      <c r="M44" s="53"/>
      <c r="N44" s="53"/>
      <c r="O44" s="518"/>
      <c r="P44" s="53"/>
      <c r="Q44" s="53"/>
      <c r="R44" s="53"/>
      <c r="S44" s="53"/>
      <c r="T44" s="518"/>
      <c r="U44" s="53"/>
      <c r="V44" s="53"/>
      <c r="W44" s="53"/>
      <c r="X44" s="53"/>
      <c r="Y44" s="518"/>
      <c r="Z44" s="53"/>
      <c r="AA44" s="53"/>
      <c r="AB44" s="53"/>
      <c r="AC44" s="53"/>
      <c r="AD44" s="518"/>
      <c r="AE44" s="53"/>
      <c r="AF44" s="53"/>
      <c r="AG44" s="53"/>
      <c r="AH44" s="53"/>
      <c r="AI44" s="518"/>
      <c r="AJ44" s="53"/>
      <c r="AK44" s="53"/>
      <c r="AL44" s="53"/>
      <c r="AM44" s="53"/>
      <c r="AN44" s="518"/>
      <c r="AO44" s="53"/>
      <c r="AP44" s="53"/>
      <c r="AQ44" s="53"/>
      <c r="AR44" s="53"/>
      <c r="AS44" s="518"/>
      <c r="AT44" s="53"/>
      <c r="AU44" s="53"/>
      <c r="AV44" s="53"/>
      <c r="AW44" s="53"/>
      <c r="AX44" s="518"/>
      <c r="AY44" s="53"/>
      <c r="AZ44" s="53"/>
      <c r="BA44" s="53"/>
      <c r="BB44" s="53"/>
      <c r="BC44" s="518"/>
      <c r="BD44" s="53"/>
      <c r="BE44" s="53"/>
      <c r="BF44" s="53"/>
      <c r="BG44" s="53"/>
      <c r="BH44" s="518"/>
      <c r="BI44" s="53"/>
      <c r="BJ44" s="53"/>
      <c r="BK44" s="53"/>
      <c r="BL44" s="53"/>
      <c r="BM44" s="518"/>
      <c r="BN44" s="53"/>
      <c r="BO44" s="53"/>
      <c r="BP44" s="53"/>
      <c r="BQ44" s="53"/>
      <c r="BR44" s="518"/>
      <c r="BS44" s="53"/>
      <c r="BT44" s="53"/>
      <c r="BU44" s="53"/>
      <c r="BV44" s="53"/>
      <c r="BW44" s="465"/>
      <c r="BZ44" s="410"/>
      <c r="CA44" s="410"/>
    </row>
    <row r="45" spans="1:79" ht="12.75" customHeight="1" x14ac:dyDescent="0.2">
      <c r="A45" s="377"/>
      <c r="B45" s="377"/>
      <c r="D45" s="465" t="s">
        <v>385</v>
      </c>
      <c r="E45" s="518"/>
      <c r="F45" s="377"/>
      <c r="G45" s="53">
        <f>SUM(G46:G49)</f>
        <v>0</v>
      </c>
      <c r="H45" s="53"/>
      <c r="I45" s="53"/>
      <c r="J45" s="518"/>
      <c r="K45" s="53"/>
      <c r="L45" s="53">
        <f>SUM(L46:L49)</f>
        <v>758012</v>
      </c>
      <c r="M45" s="53"/>
      <c r="N45" s="53"/>
      <c r="O45" s="518"/>
      <c r="P45" s="53"/>
      <c r="Q45" s="53">
        <f>SUM(Q46:Q49)</f>
        <v>592400</v>
      </c>
      <c r="R45" s="53"/>
      <c r="S45" s="53"/>
      <c r="T45" s="518"/>
      <c r="U45" s="53"/>
      <c r="V45" s="53">
        <f>SUM(V46:V49)</f>
        <v>817596</v>
      </c>
      <c r="W45" s="53"/>
      <c r="X45" s="53"/>
      <c r="Y45" s="518"/>
      <c r="Z45" s="53"/>
      <c r="AA45" s="53">
        <f>SUM(AA46:AA49)</f>
        <v>0</v>
      </c>
      <c r="AB45" s="53"/>
      <c r="AC45" s="53"/>
      <c r="AD45" s="518"/>
      <c r="AE45" s="53"/>
      <c r="AF45" s="53">
        <f>SUM(AF46:AF49)</f>
        <v>1611709</v>
      </c>
      <c r="AG45" s="53"/>
      <c r="AH45" s="53"/>
      <c r="AI45" s="518"/>
      <c r="AJ45" s="53"/>
      <c r="AK45" s="53">
        <f>SUM(AK46:AK49)</f>
        <v>0</v>
      </c>
      <c r="AL45" s="53"/>
      <c r="AM45" s="53"/>
      <c r="AN45" s="518"/>
      <c r="AO45" s="53"/>
      <c r="AP45" s="53">
        <f>SUM(AP46:AP49)</f>
        <v>0</v>
      </c>
      <c r="AQ45" s="53"/>
      <c r="AR45" s="53"/>
      <c r="AS45" s="518"/>
      <c r="AT45" s="53"/>
      <c r="AU45" s="53">
        <f>SUM(AU46:AU49)</f>
        <v>0</v>
      </c>
      <c r="AV45" s="53"/>
      <c r="AW45" s="53"/>
      <c r="AX45" s="518"/>
      <c r="AY45" s="53"/>
      <c r="AZ45" s="53">
        <f>SUM(AZ46:AZ49)</f>
        <v>0</v>
      </c>
      <c r="BA45" s="53"/>
      <c r="BB45" s="53"/>
      <c r="BC45" s="518"/>
      <c r="BD45" s="53"/>
      <c r="BE45" s="53">
        <f>SUM(BE46:BE49)</f>
        <v>0</v>
      </c>
      <c r="BF45" s="53"/>
      <c r="BG45" s="53"/>
      <c r="BH45" s="518"/>
      <c r="BI45" s="53"/>
      <c r="BJ45" s="53">
        <f>SUM(BJ46:BJ49)</f>
        <v>0</v>
      </c>
      <c r="BK45" s="53"/>
      <c r="BL45" s="53"/>
      <c r="BM45" s="518"/>
      <c r="BN45" s="53"/>
      <c r="BO45" s="53">
        <f>SUM(BO46:BO49)</f>
        <v>0</v>
      </c>
      <c r="BP45" s="53"/>
      <c r="BQ45" s="53"/>
      <c r="BR45" s="518"/>
      <c r="BS45" s="53"/>
      <c r="BT45" s="53">
        <f>SUM(BT46:BT49)</f>
        <v>3779717</v>
      </c>
      <c r="BU45" s="53"/>
      <c r="BV45" s="53"/>
      <c r="BW45" s="465"/>
      <c r="BZ45" s="410"/>
      <c r="CA45" s="410"/>
    </row>
    <row r="46" spans="1:79" ht="12.75" customHeight="1" x14ac:dyDescent="0.2">
      <c r="A46" s="377"/>
      <c r="B46" s="377"/>
      <c r="D46" s="465" t="s">
        <v>378</v>
      </c>
      <c r="E46" s="518"/>
      <c r="F46" s="469"/>
      <c r="G46" s="520">
        <v>0</v>
      </c>
      <c r="H46" s="521"/>
      <c r="I46" s="53"/>
      <c r="J46" s="518"/>
      <c r="K46" s="519"/>
      <c r="L46" s="520">
        <f>605000-189324</f>
        <v>415676</v>
      </c>
      <c r="M46" s="521"/>
      <c r="N46" s="53"/>
      <c r="O46" s="518"/>
      <c r="P46" s="519"/>
      <c r="Q46" s="520">
        <f>470000-150889</f>
        <v>319111</v>
      </c>
      <c r="R46" s="521"/>
      <c r="S46" s="53"/>
      <c r="T46" s="518"/>
      <c r="U46" s="519"/>
      <c r="V46" s="520">
        <f>645000-201995</f>
        <v>443005</v>
      </c>
      <c r="W46" s="521"/>
      <c r="X46" s="53"/>
      <c r="Y46" s="518"/>
      <c r="Z46" s="519"/>
      <c r="AA46" s="520">
        <v>0</v>
      </c>
      <c r="AB46" s="521"/>
      <c r="AC46" s="53"/>
      <c r="AD46" s="518"/>
      <c r="AE46" s="519"/>
      <c r="AF46" s="520">
        <f>1280000-424956</f>
        <v>855044</v>
      </c>
      <c r="AG46" s="521"/>
      <c r="AH46" s="53"/>
      <c r="AI46" s="518"/>
      <c r="AJ46" s="519"/>
      <c r="AK46" s="520">
        <v>0</v>
      </c>
      <c r="AL46" s="521"/>
      <c r="AM46" s="53"/>
      <c r="AN46" s="518"/>
      <c r="AO46" s="519"/>
      <c r="AP46" s="520">
        <v>0</v>
      </c>
      <c r="AQ46" s="521"/>
      <c r="AR46" s="53"/>
      <c r="AS46" s="518"/>
      <c r="AT46" s="519"/>
      <c r="AU46" s="520">
        <v>0</v>
      </c>
      <c r="AV46" s="521"/>
      <c r="AW46" s="53"/>
      <c r="AX46" s="518"/>
      <c r="AY46" s="519"/>
      <c r="AZ46" s="520">
        <v>0</v>
      </c>
      <c r="BA46" s="521"/>
      <c r="BB46" s="53"/>
      <c r="BC46" s="518"/>
      <c r="BD46" s="519"/>
      <c r="BE46" s="520">
        <v>0</v>
      </c>
      <c r="BF46" s="521"/>
      <c r="BG46" s="53"/>
      <c r="BH46" s="518"/>
      <c r="BI46" s="519"/>
      <c r="BJ46" s="520">
        <v>0</v>
      </c>
      <c r="BK46" s="521"/>
      <c r="BL46" s="53"/>
      <c r="BM46" s="518"/>
      <c r="BN46" s="519"/>
      <c r="BO46" s="520">
        <v>0</v>
      </c>
      <c r="BP46" s="521"/>
      <c r="BQ46" s="53"/>
      <c r="BR46" s="518"/>
      <c r="BS46" s="519"/>
      <c r="BT46" s="520">
        <f>SUM(L46:BO46)</f>
        <v>2032836</v>
      </c>
      <c r="BU46" s="521"/>
      <c r="BV46" s="53"/>
      <c r="BW46" s="465"/>
      <c r="BZ46" s="410"/>
      <c r="CA46" s="410"/>
    </row>
    <row r="47" spans="1:79" ht="12.75" customHeight="1" x14ac:dyDescent="0.2">
      <c r="A47" s="377"/>
      <c r="B47" s="377"/>
      <c r="D47" s="465" t="s">
        <v>380</v>
      </c>
      <c r="E47" s="518"/>
      <c r="F47" s="417"/>
      <c r="G47" s="53">
        <v>0</v>
      </c>
      <c r="H47" s="52"/>
      <c r="I47" s="53"/>
      <c r="J47" s="518"/>
      <c r="K47" s="518"/>
      <c r="L47" s="53">
        <v>189324</v>
      </c>
      <c r="M47" s="52"/>
      <c r="N47" s="53"/>
      <c r="O47" s="518"/>
      <c r="P47" s="518"/>
      <c r="Q47" s="53">
        <v>150889</v>
      </c>
      <c r="R47" s="52"/>
      <c r="S47" s="53"/>
      <c r="T47" s="518"/>
      <c r="U47" s="518"/>
      <c r="V47" s="53">
        <v>201995</v>
      </c>
      <c r="W47" s="52"/>
      <c r="X47" s="53"/>
      <c r="Y47" s="518"/>
      <c r="Z47" s="518"/>
      <c r="AA47" s="53">
        <v>0</v>
      </c>
      <c r="AB47" s="52"/>
      <c r="AC47" s="53"/>
      <c r="AD47" s="518"/>
      <c r="AE47" s="518"/>
      <c r="AF47" s="53">
        <v>424956</v>
      </c>
      <c r="AG47" s="52"/>
      <c r="AH47" s="53"/>
      <c r="AI47" s="518"/>
      <c r="AJ47" s="518"/>
      <c r="AK47" s="53">
        <v>0</v>
      </c>
      <c r="AL47" s="52"/>
      <c r="AM47" s="53"/>
      <c r="AN47" s="518"/>
      <c r="AO47" s="518"/>
      <c r="AP47" s="53">
        <v>0</v>
      </c>
      <c r="AQ47" s="52"/>
      <c r="AR47" s="53"/>
      <c r="AS47" s="518"/>
      <c r="AT47" s="518"/>
      <c r="AU47" s="53">
        <v>0</v>
      </c>
      <c r="AV47" s="52"/>
      <c r="AW47" s="53"/>
      <c r="AX47" s="518"/>
      <c r="AY47" s="518"/>
      <c r="AZ47" s="53">
        <v>0</v>
      </c>
      <c r="BA47" s="52"/>
      <c r="BB47" s="53"/>
      <c r="BC47" s="518"/>
      <c r="BD47" s="518"/>
      <c r="BE47" s="53">
        <v>0</v>
      </c>
      <c r="BF47" s="52"/>
      <c r="BG47" s="53"/>
      <c r="BH47" s="518"/>
      <c r="BI47" s="518"/>
      <c r="BJ47" s="53">
        <v>0</v>
      </c>
      <c r="BK47" s="52"/>
      <c r="BL47" s="53"/>
      <c r="BM47" s="518"/>
      <c r="BN47" s="518"/>
      <c r="BO47" s="53">
        <v>0</v>
      </c>
      <c r="BP47" s="52"/>
      <c r="BQ47" s="53"/>
      <c r="BR47" s="518"/>
      <c r="BS47" s="518"/>
      <c r="BT47" s="53">
        <f>SUM(L47:BO47)</f>
        <v>967164</v>
      </c>
      <c r="BU47" s="52"/>
      <c r="BV47" s="53"/>
      <c r="BW47" s="465"/>
      <c r="BZ47" s="410"/>
      <c r="CA47" s="410"/>
    </row>
    <row r="48" spans="1:79" ht="12.75" customHeight="1" x14ac:dyDescent="0.2">
      <c r="A48" s="377"/>
      <c r="B48" s="377"/>
      <c r="D48" s="465" t="s">
        <v>381</v>
      </c>
      <c r="E48" s="518"/>
      <c r="F48" s="417"/>
      <c r="G48" s="53">
        <v>0</v>
      </c>
      <c r="H48" s="52"/>
      <c r="I48" s="53"/>
      <c r="J48" s="518"/>
      <c r="K48" s="518"/>
      <c r="L48" s="53">
        <v>0</v>
      </c>
      <c r="M48" s="52"/>
      <c r="N48" s="53"/>
      <c r="O48" s="518"/>
      <c r="P48" s="518"/>
      <c r="Q48" s="53">
        <v>0</v>
      </c>
      <c r="R48" s="52"/>
      <c r="S48" s="53"/>
      <c r="T48" s="518"/>
      <c r="U48" s="518"/>
      <c r="V48" s="53">
        <v>0</v>
      </c>
      <c r="W48" s="52"/>
      <c r="X48" s="53"/>
      <c r="Y48" s="518"/>
      <c r="Z48" s="518"/>
      <c r="AA48" s="53">
        <v>0</v>
      </c>
      <c r="AB48" s="52"/>
      <c r="AC48" s="53"/>
      <c r="AD48" s="518"/>
      <c r="AE48" s="518"/>
      <c r="AF48" s="53">
        <v>0</v>
      </c>
      <c r="AG48" s="52"/>
      <c r="AH48" s="53"/>
      <c r="AI48" s="518"/>
      <c r="AJ48" s="518"/>
      <c r="AK48" s="53">
        <v>0</v>
      </c>
      <c r="AL48" s="52"/>
      <c r="AM48" s="53"/>
      <c r="AN48" s="518"/>
      <c r="AO48" s="518"/>
      <c r="AP48" s="53">
        <v>0</v>
      </c>
      <c r="AQ48" s="52"/>
      <c r="AR48" s="53"/>
      <c r="AS48" s="518"/>
      <c r="AT48" s="518"/>
      <c r="AU48" s="53">
        <v>0</v>
      </c>
      <c r="AV48" s="52"/>
      <c r="AW48" s="53"/>
      <c r="AX48" s="518"/>
      <c r="AY48" s="518"/>
      <c r="AZ48" s="53">
        <v>0</v>
      </c>
      <c r="BA48" s="52"/>
      <c r="BB48" s="53"/>
      <c r="BC48" s="518"/>
      <c r="BD48" s="518"/>
      <c r="BE48" s="53">
        <v>0</v>
      </c>
      <c r="BF48" s="52"/>
      <c r="BG48" s="53"/>
      <c r="BH48" s="518"/>
      <c r="BI48" s="518"/>
      <c r="BJ48" s="53">
        <v>0</v>
      </c>
      <c r="BK48" s="52"/>
      <c r="BL48" s="53"/>
      <c r="BM48" s="518"/>
      <c r="BN48" s="518"/>
      <c r="BO48" s="53">
        <v>0</v>
      </c>
      <c r="BP48" s="52"/>
      <c r="BQ48" s="53"/>
      <c r="BR48" s="518"/>
      <c r="BS48" s="518"/>
      <c r="BT48" s="53">
        <f>SUM(L48:BO48)</f>
        <v>0</v>
      </c>
      <c r="BU48" s="52"/>
      <c r="BV48" s="53"/>
      <c r="BW48" s="465"/>
      <c r="BZ48" s="410"/>
      <c r="CA48" s="410"/>
    </row>
    <row r="49" spans="1:79" ht="12.75" customHeight="1" x14ac:dyDescent="0.2">
      <c r="A49" s="377"/>
      <c r="B49" s="377"/>
      <c r="D49" s="465" t="s">
        <v>382</v>
      </c>
      <c r="E49" s="518"/>
      <c r="F49" s="478"/>
      <c r="G49" s="102">
        <v>0</v>
      </c>
      <c r="H49" s="101"/>
      <c r="I49" s="53"/>
      <c r="J49" s="518"/>
      <c r="K49" s="522"/>
      <c r="L49" s="102">
        <v>153012</v>
      </c>
      <c r="M49" s="101"/>
      <c r="N49" s="53"/>
      <c r="O49" s="518"/>
      <c r="P49" s="522"/>
      <c r="Q49" s="102">
        <v>122400</v>
      </c>
      <c r="R49" s="101"/>
      <c r="S49" s="53"/>
      <c r="T49" s="518"/>
      <c r="U49" s="522"/>
      <c r="V49" s="102">
        <v>172596</v>
      </c>
      <c r="W49" s="101"/>
      <c r="X49" s="53"/>
      <c r="Y49" s="518"/>
      <c r="Z49" s="522"/>
      <c r="AA49" s="102">
        <v>0</v>
      </c>
      <c r="AB49" s="101"/>
      <c r="AC49" s="53"/>
      <c r="AD49" s="518"/>
      <c r="AE49" s="522"/>
      <c r="AF49" s="102">
        <v>331709</v>
      </c>
      <c r="AG49" s="101"/>
      <c r="AH49" s="53"/>
      <c r="AI49" s="518"/>
      <c r="AJ49" s="522"/>
      <c r="AK49" s="102">
        <v>0</v>
      </c>
      <c r="AL49" s="101"/>
      <c r="AM49" s="53"/>
      <c r="AN49" s="518"/>
      <c r="AO49" s="522"/>
      <c r="AP49" s="102">
        <v>0</v>
      </c>
      <c r="AQ49" s="101"/>
      <c r="AR49" s="53"/>
      <c r="AS49" s="518"/>
      <c r="AT49" s="522"/>
      <c r="AU49" s="102">
        <v>0</v>
      </c>
      <c r="AV49" s="101"/>
      <c r="AW49" s="53"/>
      <c r="AX49" s="518"/>
      <c r="AY49" s="522"/>
      <c r="AZ49" s="102">
        <v>0</v>
      </c>
      <c r="BA49" s="101"/>
      <c r="BB49" s="53"/>
      <c r="BC49" s="518"/>
      <c r="BD49" s="522"/>
      <c r="BE49" s="102">
        <v>0</v>
      </c>
      <c r="BF49" s="101"/>
      <c r="BG49" s="53"/>
      <c r="BH49" s="518"/>
      <c r="BI49" s="522"/>
      <c r="BJ49" s="102">
        <v>0</v>
      </c>
      <c r="BK49" s="101"/>
      <c r="BL49" s="53"/>
      <c r="BM49" s="518"/>
      <c r="BN49" s="522"/>
      <c r="BO49" s="102">
        <v>0</v>
      </c>
      <c r="BP49" s="101"/>
      <c r="BQ49" s="53"/>
      <c r="BR49" s="518"/>
      <c r="BS49" s="522"/>
      <c r="BT49" s="102">
        <f>SUM(L49:BO49)</f>
        <v>779717</v>
      </c>
      <c r="BU49" s="101"/>
      <c r="BV49" s="53"/>
      <c r="BW49" s="465"/>
      <c r="BZ49" s="410"/>
      <c r="CA49" s="410"/>
    </row>
    <row r="50" spans="1:79" ht="12.75" customHeight="1" x14ac:dyDescent="0.2">
      <c r="A50" s="377"/>
      <c r="B50" s="377"/>
      <c r="D50" s="465"/>
      <c r="E50" s="518"/>
      <c r="F50" s="377"/>
      <c r="G50" s="53"/>
      <c r="H50" s="53"/>
      <c r="I50" s="53"/>
      <c r="J50" s="518"/>
      <c r="K50" s="53"/>
      <c r="L50" s="53"/>
      <c r="M50" s="53"/>
      <c r="N50" s="53"/>
      <c r="O50" s="518"/>
      <c r="P50" s="53"/>
      <c r="Q50" s="53"/>
      <c r="R50" s="53"/>
      <c r="S50" s="53"/>
      <c r="T50" s="518"/>
      <c r="U50" s="53"/>
      <c r="V50" s="53"/>
      <c r="W50" s="53"/>
      <c r="X50" s="53"/>
      <c r="Y50" s="518"/>
      <c r="Z50" s="53"/>
      <c r="AA50" s="53"/>
      <c r="AB50" s="53"/>
      <c r="AC50" s="53"/>
      <c r="AD50" s="518"/>
      <c r="AE50" s="53"/>
      <c r="AF50" s="53"/>
      <c r="AG50" s="53"/>
      <c r="AH50" s="53"/>
      <c r="AI50" s="518"/>
      <c r="AJ50" s="53"/>
      <c r="AK50" s="53"/>
      <c r="AL50" s="53"/>
      <c r="AM50" s="53"/>
      <c r="AN50" s="518"/>
      <c r="AO50" s="53"/>
      <c r="AP50" s="53"/>
      <c r="AQ50" s="53"/>
      <c r="AR50" s="53"/>
      <c r="AS50" s="518"/>
      <c r="AT50" s="53"/>
      <c r="AU50" s="53"/>
      <c r="AV50" s="53"/>
      <c r="AW50" s="53"/>
      <c r="AX50" s="518"/>
      <c r="AY50" s="53"/>
      <c r="AZ50" s="53"/>
      <c r="BA50" s="53"/>
      <c r="BB50" s="53"/>
      <c r="BC50" s="518"/>
      <c r="BD50" s="53"/>
      <c r="BE50" s="53"/>
      <c r="BF50" s="53"/>
      <c r="BG50" s="53"/>
      <c r="BH50" s="518"/>
      <c r="BI50" s="53"/>
      <c r="BJ50" s="53"/>
      <c r="BK50" s="53"/>
      <c r="BL50" s="53"/>
      <c r="BM50" s="518"/>
      <c r="BN50" s="53"/>
      <c r="BO50" s="53"/>
      <c r="BP50" s="53"/>
      <c r="BQ50" s="53"/>
      <c r="BR50" s="518"/>
      <c r="BS50" s="53"/>
      <c r="BT50" s="53"/>
      <c r="BU50" s="53"/>
      <c r="BV50" s="53"/>
      <c r="BW50" s="465"/>
      <c r="BZ50" s="410"/>
      <c r="CA50" s="410"/>
    </row>
    <row r="51" spans="1:79" ht="12.75" customHeight="1" x14ac:dyDescent="0.2">
      <c r="A51" s="377"/>
      <c r="B51" s="377"/>
      <c r="D51" s="465" t="s">
        <v>386</v>
      </c>
      <c r="E51" s="518"/>
      <c r="F51" s="377"/>
      <c r="G51" s="53">
        <f>SUM(G52:G55)</f>
        <v>0</v>
      </c>
      <c r="H51" s="53"/>
      <c r="I51" s="53"/>
      <c r="J51" s="518"/>
      <c r="K51" s="53"/>
      <c r="L51" s="53">
        <f>SUM(L52:L55)</f>
        <v>982689</v>
      </c>
      <c r="M51" s="53"/>
      <c r="N51" s="53"/>
      <c r="O51" s="518"/>
      <c r="P51" s="53"/>
      <c r="Q51" s="53">
        <f>SUM(Q52:Q55)</f>
        <v>1986453</v>
      </c>
      <c r="R51" s="53"/>
      <c r="S51" s="53"/>
      <c r="T51" s="518"/>
      <c r="U51" s="53"/>
      <c r="V51" s="53">
        <f>SUM(V52:V55)</f>
        <v>1403161</v>
      </c>
      <c r="W51" s="53"/>
      <c r="X51" s="53"/>
      <c r="Y51" s="518"/>
      <c r="Z51" s="53"/>
      <c r="AA51" s="53">
        <f>SUM(AA52:AA55)</f>
        <v>2745650</v>
      </c>
      <c r="AB51" s="53"/>
      <c r="AC51" s="53"/>
      <c r="AD51" s="518"/>
      <c r="AE51" s="53"/>
      <c r="AF51" s="53">
        <f>SUM(AF52:AF55)</f>
        <v>797349</v>
      </c>
      <c r="AG51" s="53"/>
      <c r="AH51" s="53"/>
      <c r="AI51" s="518"/>
      <c r="AJ51" s="53"/>
      <c r="AK51" s="53">
        <f>SUM(AK52:AK55)</f>
        <v>2383632</v>
      </c>
      <c r="AL51" s="53"/>
      <c r="AM51" s="53"/>
      <c r="AN51" s="518"/>
      <c r="AO51" s="53"/>
      <c r="AP51" s="53">
        <f>SUM(AP52:AP55)</f>
        <v>0</v>
      </c>
      <c r="AQ51" s="53"/>
      <c r="AR51" s="53"/>
      <c r="AS51" s="518"/>
      <c r="AT51" s="53"/>
      <c r="AU51" s="53">
        <f>SUM(AU52:AU55)</f>
        <v>0</v>
      </c>
      <c r="AV51" s="53"/>
      <c r="AW51" s="53"/>
      <c r="AX51" s="518"/>
      <c r="AY51" s="53"/>
      <c r="AZ51" s="53">
        <f>SUM(AZ52:AZ55)</f>
        <v>0</v>
      </c>
      <c r="BA51" s="53"/>
      <c r="BB51" s="53"/>
      <c r="BC51" s="518"/>
      <c r="BD51" s="53"/>
      <c r="BE51" s="53">
        <f>SUM(BE52:BE55)</f>
        <v>0</v>
      </c>
      <c r="BF51" s="53"/>
      <c r="BG51" s="53"/>
      <c r="BH51" s="518"/>
      <c r="BI51" s="53"/>
      <c r="BJ51" s="53">
        <f>SUM(BJ52:BJ55)</f>
        <v>0</v>
      </c>
      <c r="BK51" s="53"/>
      <c r="BL51" s="53"/>
      <c r="BM51" s="518"/>
      <c r="BN51" s="53"/>
      <c r="BO51" s="53">
        <f>SUM(BO52:BO55)</f>
        <v>0</v>
      </c>
      <c r="BP51" s="53"/>
      <c r="BQ51" s="53"/>
      <c r="BR51" s="518"/>
      <c r="BS51" s="53"/>
      <c r="BT51" s="53">
        <f>SUM(BT52:BT55)</f>
        <v>10298934</v>
      </c>
      <c r="BU51" s="53"/>
      <c r="BV51" s="53"/>
      <c r="BW51" s="465"/>
      <c r="BZ51" s="410"/>
      <c r="CA51" s="410"/>
    </row>
    <row r="52" spans="1:79" ht="12.75" customHeight="1" x14ac:dyDescent="0.2">
      <c r="A52" s="377"/>
      <c r="B52" s="377"/>
      <c r="D52" s="465" t="s">
        <v>378</v>
      </c>
      <c r="E52" s="518"/>
      <c r="F52" s="469"/>
      <c r="G52" s="520">
        <v>0</v>
      </c>
      <c r="H52" s="521"/>
      <c r="I52" s="53"/>
      <c r="J52" s="518"/>
      <c r="K52" s="519"/>
      <c r="L52" s="520">
        <f>670000-314206</f>
        <v>355794</v>
      </c>
      <c r="M52" s="521"/>
      <c r="N52" s="53"/>
      <c r="O52" s="518"/>
      <c r="P52" s="519"/>
      <c r="Q52" s="520">
        <f>1345000-656147</f>
        <v>688853</v>
      </c>
      <c r="R52" s="521"/>
      <c r="S52" s="53"/>
      <c r="T52" s="518"/>
      <c r="U52" s="519"/>
      <c r="V52" s="520">
        <f>945000-485085</f>
        <v>459915</v>
      </c>
      <c r="W52" s="521"/>
      <c r="X52" s="53"/>
      <c r="Y52" s="518"/>
      <c r="Z52" s="519"/>
      <c r="AA52" s="520">
        <f>1850000-1026711</f>
        <v>823289</v>
      </c>
      <c r="AB52" s="521"/>
      <c r="AC52" s="53"/>
      <c r="AD52" s="518"/>
      <c r="AE52" s="519"/>
      <c r="AF52" s="520">
        <f>540000-296291</f>
        <v>243709</v>
      </c>
      <c r="AG52" s="521"/>
      <c r="AH52" s="53"/>
      <c r="AI52" s="518"/>
      <c r="AJ52" s="519"/>
      <c r="AK52" s="520">
        <f>1615000-838888</f>
        <v>776112</v>
      </c>
      <c r="AL52" s="521"/>
      <c r="AM52" s="53"/>
      <c r="AN52" s="518"/>
      <c r="AO52" s="519"/>
      <c r="AP52" s="520">
        <v>0</v>
      </c>
      <c r="AQ52" s="521"/>
      <c r="AR52" s="53"/>
      <c r="AS52" s="518"/>
      <c r="AT52" s="519"/>
      <c r="AU52" s="520">
        <v>0</v>
      </c>
      <c r="AV52" s="521"/>
      <c r="AW52" s="53"/>
      <c r="AX52" s="518"/>
      <c r="AY52" s="519"/>
      <c r="AZ52" s="520">
        <v>0</v>
      </c>
      <c r="BA52" s="521"/>
      <c r="BB52" s="53"/>
      <c r="BC52" s="518"/>
      <c r="BD52" s="519"/>
      <c r="BE52" s="520">
        <v>0</v>
      </c>
      <c r="BF52" s="521"/>
      <c r="BG52" s="53"/>
      <c r="BH52" s="518"/>
      <c r="BI52" s="519"/>
      <c r="BJ52" s="520">
        <v>0</v>
      </c>
      <c r="BK52" s="521"/>
      <c r="BL52" s="53"/>
      <c r="BM52" s="518"/>
      <c r="BN52" s="519"/>
      <c r="BO52" s="520">
        <v>0</v>
      </c>
      <c r="BP52" s="521"/>
      <c r="BQ52" s="53"/>
      <c r="BR52" s="518"/>
      <c r="BS52" s="519"/>
      <c r="BT52" s="520">
        <f>SUM(L52:BO52)</f>
        <v>3347672</v>
      </c>
      <c r="BU52" s="521"/>
      <c r="BV52" s="53"/>
      <c r="BW52" s="465"/>
      <c r="BZ52" s="410"/>
      <c r="CA52" s="410"/>
    </row>
    <row r="53" spans="1:79" ht="12.75" customHeight="1" x14ac:dyDescent="0.2">
      <c r="A53" s="377"/>
      <c r="B53" s="377"/>
      <c r="D53" s="465" t="s">
        <v>380</v>
      </c>
      <c r="E53" s="518"/>
      <c r="F53" s="417"/>
      <c r="G53" s="53">
        <v>0</v>
      </c>
      <c r="H53" s="52"/>
      <c r="I53" s="53"/>
      <c r="J53" s="518"/>
      <c r="K53" s="518"/>
      <c r="L53" s="53">
        <v>314206</v>
      </c>
      <c r="M53" s="52"/>
      <c r="N53" s="53"/>
      <c r="O53" s="518"/>
      <c r="P53" s="518"/>
      <c r="Q53" s="53">
        <v>656147</v>
      </c>
      <c r="R53" s="52"/>
      <c r="S53" s="53"/>
      <c r="T53" s="518"/>
      <c r="U53" s="518"/>
      <c r="V53" s="53">
        <v>485085</v>
      </c>
      <c r="W53" s="52"/>
      <c r="X53" s="53"/>
      <c r="Y53" s="518"/>
      <c r="Z53" s="518"/>
      <c r="AA53" s="53">
        <v>1026711</v>
      </c>
      <c r="AB53" s="52"/>
      <c r="AC53" s="53"/>
      <c r="AD53" s="518"/>
      <c r="AE53" s="518"/>
      <c r="AF53" s="53">
        <v>296291</v>
      </c>
      <c r="AG53" s="52"/>
      <c r="AH53" s="53"/>
      <c r="AI53" s="518"/>
      <c r="AJ53" s="518"/>
      <c r="AK53" s="53">
        <v>838888</v>
      </c>
      <c r="AL53" s="52"/>
      <c r="AM53" s="53"/>
      <c r="AN53" s="518"/>
      <c r="AO53" s="518"/>
      <c r="AP53" s="53">
        <v>0</v>
      </c>
      <c r="AQ53" s="52"/>
      <c r="AR53" s="53"/>
      <c r="AS53" s="518"/>
      <c r="AT53" s="518"/>
      <c r="AU53" s="53">
        <v>0</v>
      </c>
      <c r="AV53" s="52"/>
      <c r="AW53" s="53"/>
      <c r="AX53" s="518"/>
      <c r="AY53" s="518"/>
      <c r="AZ53" s="53">
        <v>0</v>
      </c>
      <c r="BA53" s="52"/>
      <c r="BB53" s="53"/>
      <c r="BC53" s="518"/>
      <c r="BD53" s="518"/>
      <c r="BE53" s="53">
        <v>0</v>
      </c>
      <c r="BF53" s="52"/>
      <c r="BG53" s="53"/>
      <c r="BH53" s="518"/>
      <c r="BI53" s="518"/>
      <c r="BJ53" s="53">
        <v>0</v>
      </c>
      <c r="BK53" s="52"/>
      <c r="BL53" s="53"/>
      <c r="BM53" s="518"/>
      <c r="BN53" s="518"/>
      <c r="BO53" s="53">
        <v>0</v>
      </c>
      <c r="BP53" s="52"/>
      <c r="BQ53" s="53"/>
      <c r="BR53" s="518"/>
      <c r="BS53" s="518"/>
      <c r="BT53" s="53">
        <f>SUM(L53:BO53)</f>
        <v>3617328</v>
      </c>
      <c r="BU53" s="52"/>
      <c r="BV53" s="53"/>
      <c r="BW53" s="465"/>
      <c r="BZ53" s="410"/>
      <c r="CA53" s="410"/>
    </row>
    <row r="54" spans="1:79" ht="12.75" customHeight="1" x14ac:dyDescent="0.2">
      <c r="A54" s="377"/>
      <c r="B54" s="377"/>
      <c r="D54" s="465" t="s">
        <v>381</v>
      </c>
      <c r="E54" s="518"/>
      <c r="F54" s="417"/>
      <c r="G54" s="53">
        <v>0</v>
      </c>
      <c r="H54" s="52"/>
      <c r="I54" s="53"/>
      <c r="J54" s="518"/>
      <c r="K54" s="518"/>
      <c r="L54" s="53">
        <v>0</v>
      </c>
      <c r="M54" s="52"/>
      <c r="N54" s="53"/>
      <c r="O54" s="518"/>
      <c r="P54" s="518"/>
      <c r="Q54" s="53">
        <v>0</v>
      </c>
      <c r="R54" s="52"/>
      <c r="S54" s="53"/>
      <c r="T54" s="518"/>
      <c r="U54" s="518"/>
      <c r="V54" s="53">
        <v>0</v>
      </c>
      <c r="W54" s="52"/>
      <c r="X54" s="53"/>
      <c r="Y54" s="518"/>
      <c r="Z54" s="518"/>
      <c r="AA54" s="53">
        <v>0</v>
      </c>
      <c r="AB54" s="52"/>
      <c r="AC54" s="53"/>
      <c r="AD54" s="518"/>
      <c r="AE54" s="518"/>
      <c r="AF54" s="53">
        <v>0</v>
      </c>
      <c r="AG54" s="52"/>
      <c r="AH54" s="53"/>
      <c r="AI54" s="518"/>
      <c r="AJ54" s="518"/>
      <c r="AK54" s="53">
        <v>0</v>
      </c>
      <c r="AL54" s="52"/>
      <c r="AM54" s="53"/>
      <c r="AN54" s="518"/>
      <c r="AO54" s="518"/>
      <c r="AP54" s="53">
        <v>0</v>
      </c>
      <c r="AQ54" s="52"/>
      <c r="AR54" s="53"/>
      <c r="AS54" s="518"/>
      <c r="AT54" s="518"/>
      <c r="AU54" s="53">
        <v>0</v>
      </c>
      <c r="AV54" s="52"/>
      <c r="AW54" s="53"/>
      <c r="AX54" s="518"/>
      <c r="AY54" s="518"/>
      <c r="AZ54" s="53">
        <v>0</v>
      </c>
      <c r="BA54" s="52"/>
      <c r="BB54" s="53"/>
      <c r="BC54" s="518"/>
      <c r="BD54" s="518"/>
      <c r="BE54" s="53">
        <v>0</v>
      </c>
      <c r="BF54" s="52"/>
      <c r="BG54" s="53"/>
      <c r="BH54" s="518"/>
      <c r="BI54" s="518"/>
      <c r="BJ54" s="53">
        <v>0</v>
      </c>
      <c r="BK54" s="52"/>
      <c r="BL54" s="53"/>
      <c r="BM54" s="518"/>
      <c r="BN54" s="518"/>
      <c r="BO54" s="53">
        <v>0</v>
      </c>
      <c r="BP54" s="52"/>
      <c r="BQ54" s="53"/>
      <c r="BR54" s="518"/>
      <c r="BS54" s="518"/>
      <c r="BT54" s="53">
        <f>SUM(L54:BO54)</f>
        <v>0</v>
      </c>
      <c r="BU54" s="52"/>
      <c r="BV54" s="53"/>
      <c r="BW54" s="465"/>
      <c r="BZ54" s="410"/>
      <c r="CA54" s="410"/>
    </row>
    <row r="55" spans="1:79" ht="12.75" customHeight="1" x14ac:dyDescent="0.2">
      <c r="A55" s="377"/>
      <c r="B55" s="377"/>
      <c r="D55" s="465" t="s">
        <v>382</v>
      </c>
      <c r="E55" s="518"/>
      <c r="F55" s="478"/>
      <c r="G55" s="102">
        <v>0</v>
      </c>
      <c r="H55" s="101"/>
      <c r="I55" s="53"/>
      <c r="J55" s="518"/>
      <c r="K55" s="522"/>
      <c r="L55" s="102">
        <v>312689</v>
      </c>
      <c r="M55" s="101"/>
      <c r="N55" s="53"/>
      <c r="O55" s="518"/>
      <c r="P55" s="522"/>
      <c r="Q55" s="102">
        <v>641453</v>
      </c>
      <c r="R55" s="101"/>
      <c r="S55" s="53"/>
      <c r="T55" s="518"/>
      <c r="U55" s="522"/>
      <c r="V55" s="102">
        <v>458161</v>
      </c>
      <c r="W55" s="101"/>
      <c r="X55" s="53"/>
      <c r="Y55" s="518"/>
      <c r="Z55" s="522"/>
      <c r="AA55" s="102">
        <v>895650</v>
      </c>
      <c r="AB55" s="101"/>
      <c r="AC55" s="53"/>
      <c r="AD55" s="518"/>
      <c r="AE55" s="522"/>
      <c r="AF55" s="102">
        <v>257349</v>
      </c>
      <c r="AG55" s="101"/>
      <c r="AH55" s="53"/>
      <c r="AI55" s="518"/>
      <c r="AJ55" s="522"/>
      <c r="AK55" s="102">
        <v>768632</v>
      </c>
      <c r="AL55" s="101"/>
      <c r="AM55" s="53"/>
      <c r="AN55" s="518"/>
      <c r="AO55" s="522"/>
      <c r="AP55" s="102">
        <v>0</v>
      </c>
      <c r="AQ55" s="101"/>
      <c r="AR55" s="53"/>
      <c r="AS55" s="518"/>
      <c r="AT55" s="522"/>
      <c r="AU55" s="102">
        <v>0</v>
      </c>
      <c r="AV55" s="101"/>
      <c r="AW55" s="53"/>
      <c r="AX55" s="518"/>
      <c r="AY55" s="522"/>
      <c r="AZ55" s="102">
        <v>0</v>
      </c>
      <c r="BA55" s="101"/>
      <c r="BB55" s="53"/>
      <c r="BC55" s="518"/>
      <c r="BD55" s="522"/>
      <c r="BE55" s="102">
        <v>0</v>
      </c>
      <c r="BF55" s="101"/>
      <c r="BG55" s="53"/>
      <c r="BH55" s="518"/>
      <c r="BI55" s="522"/>
      <c r="BJ55" s="102">
        <v>0</v>
      </c>
      <c r="BK55" s="101"/>
      <c r="BL55" s="53"/>
      <c r="BM55" s="518"/>
      <c r="BN55" s="522"/>
      <c r="BO55" s="102">
        <v>0</v>
      </c>
      <c r="BP55" s="101"/>
      <c r="BQ55" s="53"/>
      <c r="BR55" s="518"/>
      <c r="BS55" s="522"/>
      <c r="BT55" s="102">
        <f>SUM(L55:BO55)</f>
        <v>3333934</v>
      </c>
      <c r="BU55" s="101"/>
      <c r="BV55" s="53"/>
      <c r="BW55" s="465"/>
      <c r="BZ55" s="410"/>
      <c r="CA55" s="410"/>
    </row>
    <row r="56" spans="1:79" x14ac:dyDescent="0.2">
      <c r="A56" s="377"/>
      <c r="B56" s="377"/>
      <c r="D56" s="465"/>
      <c r="E56" s="518"/>
      <c r="F56" s="377"/>
      <c r="G56" s="53"/>
      <c r="H56" s="53"/>
      <c r="I56" s="53"/>
      <c r="J56" s="518"/>
      <c r="K56" s="53"/>
      <c r="L56" s="53"/>
      <c r="M56" s="53"/>
      <c r="N56" s="53"/>
      <c r="O56" s="518"/>
      <c r="P56" s="53"/>
      <c r="Q56" s="53"/>
      <c r="R56" s="53"/>
      <c r="S56" s="53"/>
      <c r="T56" s="518"/>
      <c r="U56" s="53"/>
      <c r="V56" s="53"/>
      <c r="W56" s="53"/>
      <c r="X56" s="53"/>
      <c r="Y56" s="518"/>
      <c r="Z56" s="53"/>
      <c r="AA56" s="53"/>
      <c r="AB56" s="53"/>
      <c r="AC56" s="53"/>
      <c r="AD56" s="518"/>
      <c r="AE56" s="53"/>
      <c r="AF56" s="53"/>
      <c r="AG56" s="53"/>
      <c r="AH56" s="53"/>
      <c r="AI56" s="518"/>
      <c r="AJ56" s="53"/>
      <c r="AK56" s="53"/>
      <c r="AL56" s="53"/>
      <c r="AM56" s="53"/>
      <c r="AN56" s="518"/>
      <c r="AO56" s="53"/>
      <c r="AP56" s="53"/>
      <c r="AQ56" s="53"/>
      <c r="AR56" s="53"/>
      <c r="AS56" s="518"/>
      <c r="AT56" s="53"/>
      <c r="AU56" s="53"/>
      <c r="AV56" s="53"/>
      <c r="AW56" s="53"/>
      <c r="AX56" s="518"/>
      <c r="AY56" s="53"/>
      <c r="AZ56" s="53"/>
      <c r="BA56" s="53"/>
      <c r="BB56" s="53"/>
      <c r="BC56" s="518"/>
      <c r="BD56" s="53"/>
      <c r="BE56" s="53"/>
      <c r="BF56" s="53"/>
      <c r="BG56" s="53"/>
      <c r="BH56" s="518"/>
      <c r="BI56" s="53"/>
      <c r="BJ56" s="53"/>
      <c r="BK56" s="53"/>
      <c r="BL56" s="53"/>
      <c r="BM56" s="518"/>
      <c r="BN56" s="53"/>
      <c r="BO56" s="53"/>
      <c r="BP56" s="53"/>
      <c r="BQ56" s="53"/>
      <c r="BR56" s="518"/>
      <c r="BS56" s="53"/>
      <c r="BT56" s="53"/>
      <c r="BU56" s="53"/>
      <c r="BV56" s="53"/>
      <c r="BW56" s="465"/>
      <c r="BZ56" s="410"/>
      <c r="CA56" s="410"/>
    </row>
    <row r="57" spans="1:79" ht="12.75" customHeight="1" x14ac:dyDescent="0.2">
      <c r="A57" s="377"/>
      <c r="B57" s="377"/>
      <c r="D57" s="465" t="s">
        <v>387</v>
      </c>
      <c r="E57" s="518"/>
      <c r="F57" s="377"/>
      <c r="G57" s="53">
        <f>SUM(G58:G60)</f>
        <v>0</v>
      </c>
      <c r="H57" s="53"/>
      <c r="I57" s="53"/>
      <c r="J57" s="518"/>
      <c r="K57" s="53"/>
      <c r="L57" s="53">
        <f>SUM(L58:L60)</f>
        <v>1510000</v>
      </c>
      <c r="M57" s="53"/>
      <c r="N57" s="53"/>
      <c r="O57" s="518"/>
      <c r="P57" s="53"/>
      <c r="Q57" s="53">
        <f>SUM(Q58:Q60)</f>
        <v>7508000</v>
      </c>
      <c r="R57" s="53"/>
      <c r="S57" s="53"/>
      <c r="T57" s="518"/>
      <c r="U57" s="53"/>
      <c r="V57" s="53">
        <f>SUM(V58:V60)</f>
        <v>8200000</v>
      </c>
      <c r="W57" s="53"/>
      <c r="X57" s="53"/>
      <c r="Y57" s="518"/>
      <c r="Z57" s="53"/>
      <c r="AA57" s="53">
        <f>SUM(AA58:AA60)</f>
        <v>3508000</v>
      </c>
      <c r="AB57" s="53"/>
      <c r="AC57" s="53"/>
      <c r="AD57" s="518"/>
      <c r="AE57" s="53"/>
      <c r="AF57" s="53">
        <f>SUM(AF58:AF60)</f>
        <v>0</v>
      </c>
      <c r="AG57" s="53"/>
      <c r="AH57" s="53"/>
      <c r="AI57" s="518"/>
      <c r="AJ57" s="53"/>
      <c r="AK57" s="53">
        <f>SUM(AK58:AK60)</f>
        <v>6391000</v>
      </c>
      <c r="AL57" s="53"/>
      <c r="AM57" s="53"/>
      <c r="AN57" s="518"/>
      <c r="AO57" s="53"/>
      <c r="AP57" s="53">
        <f>SUM(AP58:AP60)</f>
        <v>0</v>
      </c>
      <c r="AQ57" s="53"/>
      <c r="AR57" s="53"/>
      <c r="AS57" s="518"/>
      <c r="AT57" s="53"/>
      <c r="AU57" s="53">
        <f>SUM(AU58:AU60)</f>
        <v>0</v>
      </c>
      <c r="AV57" s="53"/>
      <c r="AW57" s="53"/>
      <c r="AX57" s="518"/>
      <c r="AY57" s="53"/>
      <c r="AZ57" s="53">
        <f>SUM(AZ58:AZ60)</f>
        <v>0</v>
      </c>
      <c r="BA57" s="53"/>
      <c r="BB57" s="53"/>
      <c r="BC57" s="518"/>
      <c r="BD57" s="53"/>
      <c r="BE57" s="53">
        <f>SUM(BE58:BE60)</f>
        <v>0</v>
      </c>
      <c r="BF57" s="53"/>
      <c r="BG57" s="53"/>
      <c r="BH57" s="518"/>
      <c r="BI57" s="53"/>
      <c r="BJ57" s="53">
        <f>SUM(BJ58:BJ60)</f>
        <v>0</v>
      </c>
      <c r="BK57" s="53"/>
      <c r="BL57" s="53"/>
      <c r="BM57" s="518"/>
      <c r="BN57" s="53"/>
      <c r="BO57" s="53">
        <f>SUM(BO58:BO60)</f>
        <v>0</v>
      </c>
      <c r="BP57" s="53"/>
      <c r="BQ57" s="53"/>
      <c r="BR57" s="518"/>
      <c r="BS57" s="53"/>
      <c r="BT57" s="53">
        <f>SUM(BT58:BT60)</f>
        <v>27117000</v>
      </c>
      <c r="BU57" s="53"/>
      <c r="BV57" s="53"/>
      <c r="BW57" s="465"/>
      <c r="BZ57" s="410"/>
      <c r="CA57" s="410"/>
    </row>
    <row r="58" spans="1:79" ht="12.75" customHeight="1" x14ac:dyDescent="0.2">
      <c r="A58" s="377"/>
      <c r="B58" s="377"/>
      <c r="D58" s="465" t="s">
        <v>378</v>
      </c>
      <c r="E58" s="518"/>
      <c r="F58" s="469"/>
      <c r="G58" s="520">
        <v>0</v>
      </c>
      <c r="H58" s="521"/>
      <c r="I58" s="53"/>
      <c r="J58" s="518"/>
      <c r="K58" s="519"/>
      <c r="L58" s="520">
        <f>1510000-253860</f>
        <v>1256140</v>
      </c>
      <c r="M58" s="521"/>
      <c r="N58" s="53"/>
      <c r="O58" s="518"/>
      <c r="P58" s="519"/>
      <c r="Q58" s="520">
        <f>7508000-917243</f>
        <v>6590757</v>
      </c>
      <c r="R58" s="521"/>
      <c r="S58" s="53"/>
      <c r="T58" s="518"/>
      <c r="U58" s="519"/>
      <c r="V58" s="520">
        <f>8200000-1034972</f>
        <v>7165028</v>
      </c>
      <c r="W58" s="521"/>
      <c r="X58" s="53"/>
      <c r="Y58" s="518"/>
      <c r="Z58" s="519"/>
      <c r="AA58" s="520">
        <f>3508000-491482</f>
        <v>3016518</v>
      </c>
      <c r="AB58" s="521"/>
      <c r="AC58" s="53"/>
      <c r="AD58" s="518"/>
      <c r="AE58" s="519"/>
      <c r="AF58" s="520">
        <v>0</v>
      </c>
      <c r="AG58" s="521"/>
      <c r="AH58" s="53"/>
      <c r="AI58" s="518"/>
      <c r="AJ58" s="519"/>
      <c r="AK58" s="520">
        <f>6391000-983778</f>
        <v>5407222</v>
      </c>
      <c r="AL58" s="521"/>
      <c r="AM58" s="53"/>
      <c r="AN58" s="518"/>
      <c r="AO58" s="519"/>
      <c r="AP58" s="520">
        <v>0</v>
      </c>
      <c r="AQ58" s="521"/>
      <c r="AR58" s="53"/>
      <c r="AS58" s="518"/>
      <c r="AT58" s="519"/>
      <c r="AU58" s="520">
        <v>0</v>
      </c>
      <c r="AV58" s="521"/>
      <c r="AW58" s="53"/>
      <c r="AX58" s="518"/>
      <c r="AY58" s="519"/>
      <c r="AZ58" s="520">
        <v>0</v>
      </c>
      <c r="BA58" s="521"/>
      <c r="BB58" s="53"/>
      <c r="BC58" s="518"/>
      <c r="BD58" s="519"/>
      <c r="BE58" s="520">
        <v>0</v>
      </c>
      <c r="BF58" s="521"/>
      <c r="BG58" s="53"/>
      <c r="BH58" s="518"/>
      <c r="BI58" s="519"/>
      <c r="BJ58" s="520">
        <v>0</v>
      </c>
      <c r="BK58" s="521"/>
      <c r="BL58" s="53"/>
      <c r="BM58" s="518"/>
      <c r="BN58" s="519"/>
      <c r="BO58" s="520">
        <v>0</v>
      </c>
      <c r="BP58" s="521"/>
      <c r="BQ58" s="53"/>
      <c r="BR58" s="518"/>
      <c r="BS58" s="519"/>
      <c r="BT58" s="520">
        <f>SUM(L58:BO58)</f>
        <v>23435665</v>
      </c>
      <c r="BU58" s="521"/>
      <c r="BV58" s="53"/>
      <c r="BW58" s="465"/>
      <c r="BZ58" s="410"/>
      <c r="CA58" s="410"/>
    </row>
    <row r="59" spans="1:79" ht="12.75" customHeight="1" x14ac:dyDescent="0.2">
      <c r="A59" s="377"/>
      <c r="B59" s="377"/>
      <c r="D59" s="465" t="s">
        <v>380</v>
      </c>
      <c r="E59" s="518"/>
      <c r="F59" s="417"/>
      <c r="G59" s="53">
        <v>0</v>
      </c>
      <c r="H59" s="52"/>
      <c r="I59" s="53"/>
      <c r="J59" s="518"/>
      <c r="K59" s="518"/>
      <c r="L59" s="53">
        <v>253860</v>
      </c>
      <c r="M59" s="52"/>
      <c r="N59" s="53"/>
      <c r="O59" s="518"/>
      <c r="P59" s="518"/>
      <c r="Q59" s="53">
        <v>917243</v>
      </c>
      <c r="R59" s="52"/>
      <c r="S59" s="53"/>
      <c r="T59" s="518"/>
      <c r="U59" s="518"/>
      <c r="V59" s="53">
        <v>1034972</v>
      </c>
      <c r="W59" s="52"/>
      <c r="X59" s="53"/>
      <c r="Y59" s="518"/>
      <c r="Z59" s="518"/>
      <c r="AA59" s="53">
        <v>491482</v>
      </c>
      <c r="AB59" s="52"/>
      <c r="AC59" s="53"/>
      <c r="AD59" s="518"/>
      <c r="AE59" s="518"/>
      <c r="AF59" s="53">
        <v>0</v>
      </c>
      <c r="AG59" s="52"/>
      <c r="AH59" s="53"/>
      <c r="AI59" s="518"/>
      <c r="AJ59" s="518"/>
      <c r="AK59" s="53">
        <v>983778</v>
      </c>
      <c r="AL59" s="52"/>
      <c r="AM59" s="53"/>
      <c r="AN59" s="518"/>
      <c r="AO59" s="518"/>
      <c r="AP59" s="53">
        <v>0</v>
      </c>
      <c r="AQ59" s="52"/>
      <c r="AR59" s="53"/>
      <c r="AS59" s="518"/>
      <c r="AT59" s="518"/>
      <c r="AU59" s="53">
        <v>0</v>
      </c>
      <c r="AV59" s="52"/>
      <c r="AW59" s="53"/>
      <c r="AX59" s="518"/>
      <c r="AY59" s="518"/>
      <c r="AZ59" s="53">
        <v>0</v>
      </c>
      <c r="BA59" s="52"/>
      <c r="BB59" s="53"/>
      <c r="BC59" s="518"/>
      <c r="BD59" s="518"/>
      <c r="BE59" s="53">
        <v>0</v>
      </c>
      <c r="BF59" s="52"/>
      <c r="BG59" s="53"/>
      <c r="BH59" s="518"/>
      <c r="BI59" s="518"/>
      <c r="BJ59" s="53">
        <v>0</v>
      </c>
      <c r="BK59" s="52"/>
      <c r="BL59" s="53"/>
      <c r="BM59" s="518"/>
      <c r="BN59" s="518"/>
      <c r="BO59" s="53">
        <v>0</v>
      </c>
      <c r="BP59" s="52"/>
      <c r="BQ59" s="53"/>
      <c r="BR59" s="518"/>
      <c r="BS59" s="518"/>
      <c r="BT59" s="53">
        <f>SUM(L59:BO59)</f>
        <v>3681335</v>
      </c>
      <c r="BU59" s="52"/>
      <c r="BV59" s="53"/>
      <c r="BW59" s="465"/>
      <c r="BZ59" s="410"/>
      <c r="CA59" s="410"/>
    </row>
    <row r="60" spans="1:79" ht="12.75" customHeight="1" x14ac:dyDescent="0.2">
      <c r="A60" s="377"/>
      <c r="B60" s="377"/>
      <c r="D60" s="465" t="s">
        <v>388</v>
      </c>
      <c r="E60" s="518"/>
      <c r="F60" s="478"/>
      <c r="G60" s="102">
        <v>0</v>
      </c>
      <c r="H60" s="101"/>
      <c r="I60" s="53"/>
      <c r="J60" s="518"/>
      <c r="K60" s="522"/>
      <c r="L60" s="102">
        <v>0</v>
      </c>
      <c r="M60" s="101"/>
      <c r="N60" s="53"/>
      <c r="O60" s="518"/>
      <c r="P60" s="522"/>
      <c r="Q60" s="102">
        <v>0</v>
      </c>
      <c r="R60" s="101"/>
      <c r="S60" s="53"/>
      <c r="T60" s="518"/>
      <c r="U60" s="522"/>
      <c r="V60" s="102">
        <v>0</v>
      </c>
      <c r="W60" s="101"/>
      <c r="X60" s="53"/>
      <c r="Y60" s="518"/>
      <c r="Z60" s="522"/>
      <c r="AA60" s="102">
        <v>0</v>
      </c>
      <c r="AB60" s="101"/>
      <c r="AC60" s="53"/>
      <c r="AD60" s="518"/>
      <c r="AE60" s="522"/>
      <c r="AF60" s="102">
        <v>0</v>
      </c>
      <c r="AG60" s="101"/>
      <c r="AH60" s="53"/>
      <c r="AI60" s="518"/>
      <c r="AJ60" s="522"/>
      <c r="AK60" s="102">
        <v>0</v>
      </c>
      <c r="AL60" s="101"/>
      <c r="AM60" s="53"/>
      <c r="AN60" s="518"/>
      <c r="AO60" s="522"/>
      <c r="AP60" s="102">
        <v>0</v>
      </c>
      <c r="AQ60" s="101"/>
      <c r="AR60" s="53"/>
      <c r="AS60" s="518"/>
      <c r="AT60" s="522"/>
      <c r="AU60" s="102">
        <v>0</v>
      </c>
      <c r="AV60" s="101"/>
      <c r="AW60" s="53"/>
      <c r="AX60" s="518"/>
      <c r="AY60" s="522"/>
      <c r="AZ60" s="102">
        <v>0</v>
      </c>
      <c r="BA60" s="101"/>
      <c r="BB60" s="53"/>
      <c r="BC60" s="518"/>
      <c r="BD60" s="522"/>
      <c r="BE60" s="102">
        <v>0</v>
      </c>
      <c r="BF60" s="101"/>
      <c r="BG60" s="53"/>
      <c r="BH60" s="518"/>
      <c r="BI60" s="522"/>
      <c r="BJ60" s="102">
        <v>0</v>
      </c>
      <c r="BK60" s="101"/>
      <c r="BL60" s="53"/>
      <c r="BM60" s="518"/>
      <c r="BN60" s="522"/>
      <c r="BO60" s="102">
        <v>0</v>
      </c>
      <c r="BP60" s="101"/>
      <c r="BQ60" s="53"/>
      <c r="BR60" s="518"/>
      <c r="BS60" s="522"/>
      <c r="BT60" s="102">
        <f>SUM(L60:BO60)</f>
        <v>0</v>
      </c>
      <c r="BU60" s="101"/>
      <c r="BV60" s="53"/>
      <c r="BW60" s="465"/>
      <c r="BZ60" s="410"/>
      <c r="CA60" s="410"/>
    </row>
    <row r="61" spans="1:79" ht="12.75" customHeight="1" x14ac:dyDescent="0.2">
      <c r="A61" s="377"/>
      <c r="B61" s="377"/>
      <c r="D61" s="465"/>
      <c r="E61" s="518"/>
      <c r="F61" s="377"/>
      <c r="G61" s="53"/>
      <c r="H61" s="53"/>
      <c r="I61" s="53"/>
      <c r="J61" s="518"/>
      <c r="K61" s="53"/>
      <c r="L61" s="53"/>
      <c r="M61" s="53"/>
      <c r="N61" s="53"/>
      <c r="O61" s="518"/>
      <c r="P61" s="53"/>
      <c r="Q61" s="53"/>
      <c r="R61" s="53"/>
      <c r="S61" s="53"/>
      <c r="T61" s="518"/>
      <c r="U61" s="53"/>
      <c r="V61" s="53"/>
      <c r="W61" s="53"/>
      <c r="X61" s="53"/>
      <c r="Y61" s="518"/>
      <c r="Z61" s="53"/>
      <c r="AA61" s="53"/>
      <c r="AB61" s="53"/>
      <c r="AC61" s="53"/>
      <c r="AD61" s="518"/>
      <c r="AE61" s="53"/>
      <c r="AF61" s="53"/>
      <c r="AG61" s="53"/>
      <c r="AH61" s="53"/>
      <c r="AI61" s="518"/>
      <c r="AJ61" s="53"/>
      <c r="AK61" s="53"/>
      <c r="AL61" s="53"/>
      <c r="AM61" s="53"/>
      <c r="AN61" s="518"/>
      <c r="AO61" s="53"/>
      <c r="AP61" s="53"/>
      <c r="AQ61" s="53"/>
      <c r="AR61" s="53"/>
      <c r="AS61" s="518"/>
      <c r="AT61" s="53"/>
      <c r="AU61" s="53"/>
      <c r="AV61" s="53"/>
      <c r="AW61" s="53"/>
      <c r="AX61" s="518"/>
      <c r="AY61" s="53"/>
      <c r="AZ61" s="53"/>
      <c r="BA61" s="53"/>
      <c r="BB61" s="53"/>
      <c r="BC61" s="518"/>
      <c r="BD61" s="53"/>
      <c r="BE61" s="53"/>
      <c r="BF61" s="53"/>
      <c r="BG61" s="53"/>
      <c r="BH61" s="518"/>
      <c r="BI61" s="53"/>
      <c r="BJ61" s="53"/>
      <c r="BK61" s="53"/>
      <c r="BL61" s="53"/>
      <c r="BM61" s="518"/>
      <c r="BN61" s="53"/>
      <c r="BO61" s="53"/>
      <c r="BP61" s="53"/>
      <c r="BQ61" s="53"/>
      <c r="BR61" s="518"/>
      <c r="BS61" s="53"/>
      <c r="BT61" s="53"/>
      <c r="BU61" s="53"/>
      <c r="BV61" s="53"/>
      <c r="BW61" s="465"/>
      <c r="BZ61" s="410"/>
      <c r="CA61" s="410"/>
    </row>
    <row r="62" spans="1:79" x14ac:dyDescent="0.2">
      <c r="A62" s="377"/>
      <c r="B62" s="377"/>
      <c r="D62" s="465" t="s">
        <v>389</v>
      </c>
      <c r="E62" s="518"/>
      <c r="F62" s="377"/>
      <c r="G62" s="53">
        <f>SUM(G63:G65)</f>
        <v>0</v>
      </c>
      <c r="H62" s="53"/>
      <c r="I62" s="53"/>
      <c r="J62" s="518"/>
      <c r="K62" s="53"/>
      <c r="L62" s="53">
        <f>SUM(L63:L65)</f>
        <v>6933000</v>
      </c>
      <c r="M62" s="53"/>
      <c r="N62" s="53"/>
      <c r="O62" s="518"/>
      <c r="P62" s="53"/>
      <c r="Q62" s="53">
        <f>SUM(Q63:Q65)</f>
        <v>9652000</v>
      </c>
      <c r="R62" s="53"/>
      <c r="S62" s="53"/>
      <c r="T62" s="518"/>
      <c r="U62" s="53"/>
      <c r="V62" s="53">
        <f>SUM(V63:V65)</f>
        <v>5365000</v>
      </c>
      <c r="W62" s="53"/>
      <c r="X62" s="53"/>
      <c r="Y62" s="518"/>
      <c r="Z62" s="53"/>
      <c r="AA62" s="53">
        <f>SUM(AA63:AA65)</f>
        <v>19611000</v>
      </c>
      <c r="AB62" s="53"/>
      <c r="AC62" s="53"/>
      <c r="AD62" s="518"/>
      <c r="AE62" s="53"/>
      <c r="AF62" s="53">
        <f>SUM(AF63:AF65)</f>
        <v>7976000</v>
      </c>
      <c r="AG62" s="53"/>
      <c r="AH62" s="53"/>
      <c r="AI62" s="518"/>
      <c r="AJ62" s="53"/>
      <c r="AK62" s="53">
        <f>SUM(AK63:AK65)</f>
        <v>4403000</v>
      </c>
      <c r="AL62" s="53"/>
      <c r="AM62" s="53"/>
      <c r="AN62" s="518"/>
      <c r="AO62" s="53"/>
      <c r="AP62" s="53">
        <f>SUM(AP63:AP65)</f>
        <v>0</v>
      </c>
      <c r="AQ62" s="53"/>
      <c r="AR62" s="53"/>
      <c r="AS62" s="518"/>
      <c r="AT62" s="53"/>
      <c r="AU62" s="53">
        <f>SUM(AU63:AU65)</f>
        <v>0</v>
      </c>
      <c r="AV62" s="53"/>
      <c r="AW62" s="53"/>
      <c r="AX62" s="518"/>
      <c r="AY62" s="53"/>
      <c r="AZ62" s="53">
        <f>SUM(AZ63:AZ65)</f>
        <v>0</v>
      </c>
      <c r="BA62" s="53"/>
      <c r="BB62" s="53"/>
      <c r="BC62" s="518"/>
      <c r="BD62" s="53"/>
      <c r="BE62" s="53">
        <f>SUM(BE63:BE65)</f>
        <v>0</v>
      </c>
      <c r="BF62" s="53"/>
      <c r="BG62" s="53"/>
      <c r="BH62" s="518"/>
      <c r="BI62" s="53"/>
      <c r="BJ62" s="53">
        <f>SUM(BJ63:BJ65)</f>
        <v>0</v>
      </c>
      <c r="BK62" s="53"/>
      <c r="BL62" s="53"/>
      <c r="BM62" s="518"/>
      <c r="BN62" s="53"/>
      <c r="BO62" s="53">
        <f>SUM(BO63:BO65)</f>
        <v>0</v>
      </c>
      <c r="BP62" s="53"/>
      <c r="BQ62" s="53"/>
      <c r="BR62" s="518"/>
      <c r="BS62" s="53"/>
      <c r="BT62" s="53">
        <f>SUM(BT63:BT65)</f>
        <v>53940000</v>
      </c>
      <c r="BU62" s="53"/>
      <c r="BV62" s="53"/>
      <c r="BW62" s="465"/>
      <c r="BZ62" s="410"/>
      <c r="CA62" s="410"/>
    </row>
    <row r="63" spans="1:79" x14ac:dyDescent="0.2">
      <c r="A63" s="377"/>
      <c r="B63" s="377"/>
      <c r="D63" s="465" t="s">
        <v>378</v>
      </c>
      <c r="E63" s="518"/>
      <c r="F63" s="469"/>
      <c r="G63" s="520">
        <v>0</v>
      </c>
      <c r="H63" s="521"/>
      <c r="I63" s="53"/>
      <c r="J63" s="518"/>
      <c r="K63" s="519"/>
      <c r="L63" s="520">
        <f>6933000+289208</f>
        <v>7222208</v>
      </c>
      <c r="M63" s="521"/>
      <c r="N63" s="53"/>
      <c r="O63" s="518"/>
      <c r="P63" s="519"/>
      <c r="Q63" s="520">
        <f>9652000+1102248</f>
        <v>10754248</v>
      </c>
      <c r="R63" s="521"/>
      <c r="S63" s="53"/>
      <c r="T63" s="518"/>
      <c r="U63" s="519"/>
      <c r="V63" s="520">
        <f>5365000+764417</f>
        <v>6129417</v>
      </c>
      <c r="W63" s="521"/>
      <c r="X63" s="53"/>
      <c r="Y63" s="518"/>
      <c r="Z63" s="519"/>
      <c r="AA63" s="520">
        <f>19611000+2780721</f>
        <v>22391721</v>
      </c>
      <c r="AB63" s="521"/>
      <c r="AC63" s="53"/>
      <c r="AD63" s="518"/>
      <c r="AE63" s="519"/>
      <c r="AF63" s="520">
        <f>7976000+1213553</f>
        <v>9189553</v>
      </c>
      <c r="AG63" s="521"/>
      <c r="AH63" s="53"/>
      <c r="AI63" s="518"/>
      <c r="AJ63" s="519"/>
      <c r="AK63" s="520">
        <f>4403000+716835</f>
        <v>5119835</v>
      </c>
      <c r="AL63" s="521"/>
      <c r="AM63" s="53"/>
      <c r="AN63" s="518"/>
      <c r="AO63" s="519"/>
      <c r="AP63" s="520">
        <v>0</v>
      </c>
      <c r="AQ63" s="521"/>
      <c r="AR63" s="53"/>
      <c r="AS63" s="518"/>
      <c r="AT63" s="519"/>
      <c r="AU63" s="520">
        <v>0</v>
      </c>
      <c r="AV63" s="521"/>
      <c r="AW63" s="53"/>
      <c r="AX63" s="518"/>
      <c r="AY63" s="519"/>
      <c r="AZ63" s="520">
        <v>0</v>
      </c>
      <c r="BA63" s="521"/>
      <c r="BB63" s="53"/>
      <c r="BC63" s="518"/>
      <c r="BD63" s="519"/>
      <c r="BE63" s="520">
        <v>0</v>
      </c>
      <c r="BF63" s="521"/>
      <c r="BG63" s="53"/>
      <c r="BH63" s="518"/>
      <c r="BI63" s="519"/>
      <c r="BJ63" s="520">
        <v>0</v>
      </c>
      <c r="BK63" s="521"/>
      <c r="BL63" s="53"/>
      <c r="BM63" s="518"/>
      <c r="BN63" s="519"/>
      <c r="BO63" s="520">
        <v>0</v>
      </c>
      <c r="BP63" s="521"/>
      <c r="BQ63" s="53"/>
      <c r="BR63" s="518"/>
      <c r="BS63" s="519"/>
      <c r="BT63" s="520">
        <f>SUM(L63:BO63)</f>
        <v>60806982</v>
      </c>
      <c r="BU63" s="521"/>
      <c r="BV63" s="53"/>
      <c r="BW63" s="465"/>
      <c r="BZ63" s="410"/>
      <c r="CA63" s="410"/>
    </row>
    <row r="64" spans="1:79" x14ac:dyDescent="0.2">
      <c r="A64" s="377"/>
      <c r="B64" s="377"/>
      <c r="D64" s="465" t="s">
        <v>380</v>
      </c>
      <c r="E64" s="518"/>
      <c r="F64" s="417"/>
      <c r="G64" s="53">
        <v>0</v>
      </c>
      <c r="H64" s="52"/>
      <c r="I64" s="53"/>
      <c r="J64" s="518"/>
      <c r="K64" s="518"/>
      <c r="L64" s="53">
        <v>0</v>
      </c>
      <c r="M64" s="52"/>
      <c r="N64" s="53"/>
      <c r="O64" s="518"/>
      <c r="P64" s="518"/>
      <c r="Q64" s="53">
        <v>0</v>
      </c>
      <c r="R64" s="52"/>
      <c r="S64" s="53"/>
      <c r="T64" s="518"/>
      <c r="U64" s="518"/>
      <c r="V64" s="53">
        <v>0</v>
      </c>
      <c r="W64" s="52"/>
      <c r="X64" s="53"/>
      <c r="Y64" s="518"/>
      <c r="Z64" s="518"/>
      <c r="AA64" s="53">
        <v>0</v>
      </c>
      <c r="AB64" s="52"/>
      <c r="AC64" s="53"/>
      <c r="AD64" s="518"/>
      <c r="AE64" s="518"/>
      <c r="AF64" s="53">
        <v>0</v>
      </c>
      <c r="AG64" s="52"/>
      <c r="AH64" s="53"/>
      <c r="AI64" s="518"/>
      <c r="AJ64" s="518"/>
      <c r="AK64" s="53">
        <v>0</v>
      </c>
      <c r="AL64" s="52"/>
      <c r="AM64" s="53"/>
      <c r="AN64" s="518"/>
      <c r="AO64" s="518"/>
      <c r="AP64" s="53">
        <v>0</v>
      </c>
      <c r="AQ64" s="52"/>
      <c r="AR64" s="53"/>
      <c r="AS64" s="518"/>
      <c r="AT64" s="518"/>
      <c r="AU64" s="53">
        <v>0</v>
      </c>
      <c r="AV64" s="52"/>
      <c r="AW64" s="53"/>
      <c r="AX64" s="518"/>
      <c r="AY64" s="518"/>
      <c r="AZ64" s="53">
        <v>0</v>
      </c>
      <c r="BA64" s="52"/>
      <c r="BB64" s="53"/>
      <c r="BC64" s="518"/>
      <c r="BD64" s="518"/>
      <c r="BE64" s="53">
        <v>0</v>
      </c>
      <c r="BF64" s="52"/>
      <c r="BG64" s="53"/>
      <c r="BH64" s="518"/>
      <c r="BI64" s="518"/>
      <c r="BJ64" s="53">
        <v>0</v>
      </c>
      <c r="BK64" s="52"/>
      <c r="BL64" s="53"/>
      <c r="BM64" s="518"/>
      <c r="BN64" s="518"/>
      <c r="BO64" s="53">
        <v>0</v>
      </c>
      <c r="BP64" s="52"/>
      <c r="BQ64" s="53"/>
      <c r="BR64" s="518"/>
      <c r="BS64" s="518"/>
      <c r="BT64" s="53">
        <f>SUM(L64:BO64)</f>
        <v>0</v>
      </c>
      <c r="BU64" s="52"/>
      <c r="BV64" s="53"/>
      <c r="BW64" s="465"/>
      <c r="BZ64" s="410"/>
      <c r="CA64" s="410"/>
    </row>
    <row r="65" spans="1:79" x14ac:dyDescent="0.2">
      <c r="A65" s="377"/>
      <c r="B65" s="377"/>
      <c r="D65" s="465" t="s">
        <v>388</v>
      </c>
      <c r="E65" s="518"/>
      <c r="F65" s="478"/>
      <c r="G65" s="102">
        <v>0</v>
      </c>
      <c r="H65" s="101"/>
      <c r="I65" s="53"/>
      <c r="J65" s="518"/>
      <c r="K65" s="522"/>
      <c r="L65" s="102">
        <v>-289208</v>
      </c>
      <c r="M65" s="101"/>
      <c r="N65" s="53"/>
      <c r="O65" s="518"/>
      <c r="P65" s="522"/>
      <c r="Q65" s="102">
        <v>-1102248</v>
      </c>
      <c r="R65" s="101"/>
      <c r="S65" s="53"/>
      <c r="T65" s="518"/>
      <c r="U65" s="522"/>
      <c r="V65" s="102">
        <v>-764417</v>
      </c>
      <c r="W65" s="101"/>
      <c r="X65" s="53"/>
      <c r="Y65" s="518"/>
      <c r="Z65" s="522"/>
      <c r="AA65" s="102">
        <v>-2780721</v>
      </c>
      <c r="AB65" s="101"/>
      <c r="AC65" s="53"/>
      <c r="AD65" s="518"/>
      <c r="AE65" s="522"/>
      <c r="AF65" s="102">
        <v>-1213553</v>
      </c>
      <c r="AG65" s="101"/>
      <c r="AH65" s="53"/>
      <c r="AI65" s="518"/>
      <c r="AJ65" s="522"/>
      <c r="AK65" s="102">
        <v>-716835</v>
      </c>
      <c r="AL65" s="101"/>
      <c r="AM65" s="53"/>
      <c r="AN65" s="518"/>
      <c r="AO65" s="522"/>
      <c r="AP65" s="102">
        <v>0</v>
      </c>
      <c r="AQ65" s="101"/>
      <c r="AR65" s="53"/>
      <c r="AS65" s="518"/>
      <c r="AT65" s="522"/>
      <c r="AU65" s="102">
        <v>0</v>
      </c>
      <c r="AV65" s="101"/>
      <c r="AW65" s="53"/>
      <c r="AX65" s="518"/>
      <c r="AY65" s="522"/>
      <c r="AZ65" s="102">
        <v>0</v>
      </c>
      <c r="BA65" s="101"/>
      <c r="BB65" s="53"/>
      <c r="BC65" s="518"/>
      <c r="BD65" s="522"/>
      <c r="BE65" s="102">
        <v>0</v>
      </c>
      <c r="BF65" s="101"/>
      <c r="BG65" s="53"/>
      <c r="BH65" s="518"/>
      <c r="BI65" s="522"/>
      <c r="BJ65" s="102">
        <v>0</v>
      </c>
      <c r="BK65" s="101"/>
      <c r="BL65" s="53"/>
      <c r="BM65" s="518"/>
      <c r="BN65" s="522"/>
      <c r="BO65" s="102">
        <v>0</v>
      </c>
      <c r="BP65" s="101"/>
      <c r="BQ65" s="53"/>
      <c r="BR65" s="518"/>
      <c r="BS65" s="522"/>
      <c r="BT65" s="102">
        <f>SUM(L65:BO65)</f>
        <v>-6866982</v>
      </c>
      <c r="BU65" s="101"/>
      <c r="BV65" s="53"/>
      <c r="BW65" s="465"/>
      <c r="BZ65" s="410"/>
      <c r="CA65" s="410"/>
    </row>
    <row r="66" spans="1:79" ht="8.25" customHeight="1" x14ac:dyDescent="0.2">
      <c r="A66" s="377"/>
      <c r="B66" s="377"/>
      <c r="D66" s="465"/>
      <c r="F66" s="377"/>
      <c r="G66" s="53"/>
      <c r="H66" s="53"/>
      <c r="I66" s="53"/>
      <c r="J66" s="518"/>
      <c r="K66" s="53"/>
      <c r="L66" s="53"/>
      <c r="M66" s="53"/>
      <c r="N66" s="53"/>
      <c r="O66" s="518"/>
      <c r="P66" s="53"/>
      <c r="Q66" s="53"/>
      <c r="R66" s="53"/>
      <c r="S66" s="53"/>
      <c r="T66" s="518"/>
      <c r="U66" s="53"/>
      <c r="V66" s="53"/>
      <c r="W66" s="53"/>
      <c r="X66" s="53"/>
      <c r="Y66" s="518"/>
      <c r="Z66" s="53"/>
      <c r="AA66" s="53"/>
      <c r="AB66" s="53"/>
      <c r="AC66" s="53"/>
      <c r="AD66" s="518"/>
      <c r="AE66" s="53"/>
      <c r="AF66" s="53"/>
      <c r="AG66" s="53"/>
      <c r="AH66" s="53"/>
      <c r="AI66" s="518"/>
      <c r="AJ66" s="53"/>
      <c r="AK66" s="53"/>
      <c r="AL66" s="53"/>
      <c r="AM66" s="53"/>
      <c r="AN66" s="518"/>
      <c r="AO66" s="53"/>
      <c r="AP66" s="53"/>
      <c r="AQ66" s="53"/>
      <c r="AR66" s="53"/>
      <c r="AS66" s="518"/>
      <c r="AT66" s="53"/>
      <c r="AU66" s="53"/>
      <c r="AV66" s="53"/>
      <c r="AW66" s="53"/>
      <c r="AX66" s="518"/>
      <c r="AY66" s="53"/>
      <c r="AZ66" s="53"/>
      <c r="BA66" s="53"/>
      <c r="BB66" s="53"/>
      <c r="BC66" s="518"/>
      <c r="BD66" s="53"/>
      <c r="BE66" s="53"/>
      <c r="BF66" s="53"/>
      <c r="BG66" s="53"/>
      <c r="BH66" s="518"/>
      <c r="BI66" s="53"/>
      <c r="BJ66" s="53"/>
      <c r="BK66" s="53"/>
      <c r="BL66" s="53"/>
      <c r="BM66" s="518"/>
      <c r="BN66" s="53"/>
      <c r="BO66" s="53"/>
      <c r="BP66" s="53"/>
      <c r="BQ66" s="53"/>
      <c r="BR66" s="518"/>
      <c r="BS66" s="53"/>
      <c r="BT66" s="53"/>
      <c r="BU66" s="53"/>
      <c r="BV66" s="53"/>
      <c r="BW66" s="465"/>
      <c r="BZ66" s="410"/>
      <c r="CA66" s="410"/>
    </row>
    <row r="67" spans="1:79" ht="12.75" hidden="1" customHeight="1" x14ac:dyDescent="0.2">
      <c r="A67" s="377"/>
      <c r="B67" s="377"/>
      <c r="D67" s="465" t="s">
        <v>390</v>
      </c>
      <c r="E67" s="518"/>
      <c r="F67" s="377"/>
      <c r="G67" s="53">
        <f>SUM(G68:G71)</f>
        <v>0</v>
      </c>
      <c r="H67" s="53"/>
      <c r="I67" s="53"/>
      <c r="J67" s="518"/>
      <c r="K67" s="53"/>
      <c r="L67" s="53">
        <f>SUM(L68:L71)</f>
        <v>0</v>
      </c>
      <c r="M67" s="53"/>
      <c r="N67" s="53"/>
      <c r="O67" s="518"/>
      <c r="P67" s="53"/>
      <c r="Q67" s="53">
        <f>SUM(Q68:Q71)</f>
        <v>0</v>
      </c>
      <c r="R67" s="53"/>
      <c r="S67" s="53"/>
      <c r="T67" s="518"/>
      <c r="U67" s="53"/>
      <c r="V67" s="53">
        <f>SUM(V68:V71)</f>
        <v>0</v>
      </c>
      <c r="W67" s="53"/>
      <c r="X67" s="53"/>
      <c r="Y67" s="518"/>
      <c r="Z67" s="53"/>
      <c r="AA67" s="53">
        <f>SUM(AA68:AA71)</f>
        <v>0</v>
      </c>
      <c r="AB67" s="53"/>
      <c r="AC67" s="53"/>
      <c r="AD67" s="518"/>
      <c r="AE67" s="53"/>
      <c r="AF67" s="53">
        <f>SUM(AF68:AF71)</f>
        <v>0</v>
      </c>
      <c r="AG67" s="53"/>
      <c r="AH67" s="53"/>
      <c r="AI67" s="518"/>
      <c r="AJ67" s="53"/>
      <c r="AK67" s="53">
        <f>SUM(AK68:AK71)</f>
        <v>0</v>
      </c>
      <c r="AL67" s="53"/>
      <c r="AM67" s="53"/>
      <c r="AN67" s="518"/>
      <c r="AO67" s="53"/>
      <c r="AP67" s="53">
        <f>SUM(AP68:AP71)</f>
        <v>0</v>
      </c>
      <c r="AQ67" s="53"/>
      <c r="AR67" s="53"/>
      <c r="AS67" s="518"/>
      <c r="AT67" s="53"/>
      <c r="AU67" s="53">
        <f>SUM(AU68:AU71)</f>
        <v>0</v>
      </c>
      <c r="AV67" s="53"/>
      <c r="AW67" s="53"/>
      <c r="AX67" s="518"/>
      <c r="AY67" s="53"/>
      <c r="AZ67" s="53">
        <f>SUM(AZ68:AZ71)</f>
        <v>0</v>
      </c>
      <c r="BA67" s="53"/>
      <c r="BB67" s="53"/>
      <c r="BC67" s="518"/>
      <c r="BD67" s="53"/>
      <c r="BE67" s="53">
        <f>SUM(BE68:BE71)</f>
        <v>0</v>
      </c>
      <c r="BF67" s="53"/>
      <c r="BG67" s="53"/>
      <c r="BH67" s="518"/>
      <c r="BI67" s="53"/>
      <c r="BJ67" s="53">
        <f>SUM(BJ68:BJ71)</f>
        <v>0</v>
      </c>
      <c r="BK67" s="53"/>
      <c r="BL67" s="53"/>
      <c r="BM67" s="518"/>
      <c r="BN67" s="53"/>
      <c r="BO67" s="53">
        <f>SUM(BO68:BO71)</f>
        <v>0</v>
      </c>
      <c r="BP67" s="53"/>
      <c r="BQ67" s="53"/>
      <c r="BR67" s="518"/>
      <c r="BS67" s="53"/>
      <c r="BT67" s="53">
        <f>SUM(BT68:BT71)</f>
        <v>0</v>
      </c>
      <c r="BU67" s="53"/>
      <c r="BV67" s="53"/>
      <c r="BW67" s="465"/>
      <c r="BZ67" s="410"/>
      <c r="CA67" s="410"/>
    </row>
    <row r="68" spans="1:79" ht="12.75" hidden="1" customHeight="1" x14ac:dyDescent="0.2">
      <c r="A68" s="377"/>
      <c r="B68" s="377"/>
      <c r="D68" s="465" t="s">
        <v>378</v>
      </c>
      <c r="E68" s="518"/>
      <c r="F68" s="469"/>
      <c r="G68" s="520">
        <v>0</v>
      </c>
      <c r="H68" s="521"/>
      <c r="I68" s="53"/>
      <c r="J68" s="518"/>
      <c r="K68" s="519"/>
      <c r="L68" s="520">
        <v>0</v>
      </c>
      <c r="M68" s="521"/>
      <c r="N68" s="53"/>
      <c r="O68" s="518"/>
      <c r="P68" s="519"/>
      <c r="Q68" s="520">
        <v>0</v>
      </c>
      <c r="R68" s="521"/>
      <c r="S68" s="53"/>
      <c r="T68" s="518"/>
      <c r="U68" s="519"/>
      <c r="V68" s="520">
        <v>0</v>
      </c>
      <c r="W68" s="521"/>
      <c r="X68" s="53"/>
      <c r="Y68" s="518"/>
      <c r="Z68" s="519"/>
      <c r="AA68" s="520">
        <v>0</v>
      </c>
      <c r="AB68" s="521"/>
      <c r="AC68" s="53"/>
      <c r="AD68" s="518"/>
      <c r="AE68" s="519"/>
      <c r="AF68" s="520">
        <v>0</v>
      </c>
      <c r="AG68" s="521"/>
      <c r="AH68" s="53"/>
      <c r="AI68" s="518"/>
      <c r="AJ68" s="519"/>
      <c r="AK68" s="520">
        <v>0</v>
      </c>
      <c r="AL68" s="521"/>
      <c r="AM68" s="53"/>
      <c r="AN68" s="518"/>
      <c r="AO68" s="519"/>
      <c r="AP68" s="520">
        <v>0</v>
      </c>
      <c r="AQ68" s="521"/>
      <c r="AR68" s="53"/>
      <c r="AS68" s="518"/>
      <c r="AT68" s="519"/>
      <c r="AU68" s="520">
        <v>0</v>
      </c>
      <c r="AV68" s="521"/>
      <c r="AW68" s="53"/>
      <c r="AX68" s="518"/>
      <c r="AY68" s="519"/>
      <c r="AZ68" s="520">
        <v>0</v>
      </c>
      <c r="BA68" s="521"/>
      <c r="BB68" s="53"/>
      <c r="BC68" s="518"/>
      <c r="BD68" s="519"/>
      <c r="BE68" s="520">
        <v>0</v>
      </c>
      <c r="BF68" s="521"/>
      <c r="BG68" s="53"/>
      <c r="BH68" s="518"/>
      <c r="BI68" s="519"/>
      <c r="BJ68" s="520">
        <v>0</v>
      </c>
      <c r="BK68" s="521"/>
      <c r="BL68" s="53"/>
      <c r="BM68" s="518"/>
      <c r="BN68" s="519"/>
      <c r="BO68" s="520">
        <v>0</v>
      </c>
      <c r="BP68" s="521"/>
      <c r="BQ68" s="53"/>
      <c r="BR68" s="518"/>
      <c r="BS68" s="519"/>
      <c r="BT68" s="520">
        <f>SUM(L68:BO68)</f>
        <v>0</v>
      </c>
      <c r="BU68" s="521"/>
      <c r="BV68" s="53"/>
      <c r="BW68" s="465"/>
      <c r="BZ68" s="410"/>
      <c r="CA68" s="410"/>
    </row>
    <row r="69" spans="1:79" ht="12.75" hidden="1" customHeight="1" x14ac:dyDescent="0.2">
      <c r="A69" s="377"/>
      <c r="B69" s="377"/>
      <c r="D69" s="465" t="s">
        <v>380</v>
      </c>
      <c r="E69" s="518"/>
      <c r="F69" s="417"/>
      <c r="G69" s="53">
        <v>0</v>
      </c>
      <c r="H69" s="52"/>
      <c r="I69" s="53"/>
      <c r="J69" s="518"/>
      <c r="K69" s="518"/>
      <c r="L69" s="53">
        <v>0</v>
      </c>
      <c r="M69" s="52"/>
      <c r="N69" s="53"/>
      <c r="O69" s="518"/>
      <c r="P69" s="518"/>
      <c r="Q69" s="53">
        <v>0</v>
      </c>
      <c r="R69" s="52"/>
      <c r="S69" s="53"/>
      <c r="T69" s="518"/>
      <c r="U69" s="518"/>
      <c r="V69" s="53">
        <v>0</v>
      </c>
      <c r="W69" s="52"/>
      <c r="X69" s="53"/>
      <c r="Y69" s="518"/>
      <c r="Z69" s="518"/>
      <c r="AA69" s="53">
        <v>0</v>
      </c>
      <c r="AB69" s="52"/>
      <c r="AC69" s="53"/>
      <c r="AD69" s="518"/>
      <c r="AE69" s="518"/>
      <c r="AF69" s="53">
        <v>0</v>
      </c>
      <c r="AG69" s="52"/>
      <c r="AH69" s="53"/>
      <c r="AI69" s="518"/>
      <c r="AJ69" s="518"/>
      <c r="AK69" s="53">
        <v>0</v>
      </c>
      <c r="AL69" s="52"/>
      <c r="AM69" s="53"/>
      <c r="AN69" s="518"/>
      <c r="AO69" s="518"/>
      <c r="AP69" s="53">
        <v>0</v>
      </c>
      <c r="AQ69" s="52"/>
      <c r="AR69" s="53"/>
      <c r="AS69" s="518"/>
      <c r="AT69" s="518"/>
      <c r="AU69" s="53">
        <v>0</v>
      </c>
      <c r="AV69" s="52"/>
      <c r="AW69" s="53"/>
      <c r="AX69" s="518"/>
      <c r="AY69" s="518"/>
      <c r="AZ69" s="53">
        <v>0</v>
      </c>
      <c r="BA69" s="52"/>
      <c r="BB69" s="53"/>
      <c r="BC69" s="518"/>
      <c r="BD69" s="518"/>
      <c r="BE69" s="53">
        <v>0</v>
      </c>
      <c r="BF69" s="52"/>
      <c r="BG69" s="53"/>
      <c r="BH69" s="518"/>
      <c r="BI69" s="518"/>
      <c r="BJ69" s="53">
        <v>0</v>
      </c>
      <c r="BK69" s="52"/>
      <c r="BL69" s="53"/>
      <c r="BM69" s="518"/>
      <c r="BN69" s="518"/>
      <c r="BO69" s="53">
        <v>0</v>
      </c>
      <c r="BP69" s="52"/>
      <c r="BQ69" s="53"/>
      <c r="BR69" s="518"/>
      <c r="BS69" s="518"/>
      <c r="BT69" s="53">
        <f>SUM(L69:BO69)</f>
        <v>0</v>
      </c>
      <c r="BU69" s="52"/>
      <c r="BV69" s="53"/>
      <c r="BW69" s="465"/>
      <c r="BZ69" s="410"/>
      <c r="CA69" s="410"/>
    </row>
    <row r="70" spans="1:79" ht="12.75" hidden="1" customHeight="1" x14ac:dyDescent="0.2">
      <c r="A70" s="377"/>
      <c r="B70" s="377"/>
      <c r="D70" s="465" t="s">
        <v>381</v>
      </c>
      <c r="E70" s="518"/>
      <c r="F70" s="417"/>
      <c r="G70" s="53">
        <v>0</v>
      </c>
      <c r="H70" s="52"/>
      <c r="I70" s="53"/>
      <c r="J70" s="518"/>
      <c r="K70" s="518"/>
      <c r="L70" s="53">
        <v>0</v>
      </c>
      <c r="M70" s="52"/>
      <c r="N70" s="53"/>
      <c r="O70" s="518"/>
      <c r="P70" s="518"/>
      <c r="Q70" s="53">
        <v>0</v>
      </c>
      <c r="R70" s="52"/>
      <c r="S70" s="53"/>
      <c r="T70" s="518"/>
      <c r="U70" s="518"/>
      <c r="V70" s="53">
        <v>0</v>
      </c>
      <c r="W70" s="52"/>
      <c r="X70" s="53"/>
      <c r="Y70" s="518"/>
      <c r="Z70" s="518"/>
      <c r="AA70" s="53">
        <v>0</v>
      </c>
      <c r="AB70" s="52"/>
      <c r="AC70" s="53"/>
      <c r="AD70" s="518"/>
      <c r="AE70" s="518"/>
      <c r="AF70" s="53">
        <v>0</v>
      </c>
      <c r="AG70" s="52"/>
      <c r="AH70" s="53"/>
      <c r="AI70" s="518"/>
      <c r="AJ70" s="518"/>
      <c r="AK70" s="53">
        <v>0</v>
      </c>
      <c r="AL70" s="52"/>
      <c r="AM70" s="53"/>
      <c r="AN70" s="518"/>
      <c r="AO70" s="518"/>
      <c r="AP70" s="53">
        <v>0</v>
      </c>
      <c r="AQ70" s="52"/>
      <c r="AR70" s="53"/>
      <c r="AS70" s="518"/>
      <c r="AT70" s="518"/>
      <c r="AU70" s="53">
        <v>0</v>
      </c>
      <c r="AV70" s="52"/>
      <c r="AW70" s="53"/>
      <c r="AX70" s="518"/>
      <c r="AY70" s="518"/>
      <c r="AZ70" s="53">
        <v>0</v>
      </c>
      <c r="BA70" s="52"/>
      <c r="BB70" s="53"/>
      <c r="BC70" s="518"/>
      <c r="BD70" s="518"/>
      <c r="BE70" s="53">
        <v>0</v>
      </c>
      <c r="BF70" s="52"/>
      <c r="BG70" s="53"/>
      <c r="BH70" s="518"/>
      <c r="BI70" s="518"/>
      <c r="BJ70" s="53">
        <v>0</v>
      </c>
      <c r="BK70" s="52"/>
      <c r="BL70" s="53"/>
      <c r="BM70" s="518"/>
      <c r="BN70" s="518"/>
      <c r="BO70" s="53">
        <v>0</v>
      </c>
      <c r="BP70" s="52"/>
      <c r="BQ70" s="53"/>
      <c r="BR70" s="518"/>
      <c r="BS70" s="518"/>
      <c r="BT70" s="53">
        <f>SUM(L70:BO70)</f>
        <v>0</v>
      </c>
      <c r="BU70" s="52"/>
      <c r="BV70" s="53"/>
      <c r="BW70" s="465"/>
      <c r="BZ70" s="410"/>
      <c r="CA70" s="410"/>
    </row>
    <row r="71" spans="1:79" ht="12.75" hidden="1" customHeight="1" x14ac:dyDescent="0.2">
      <c r="A71" s="377"/>
      <c r="B71" s="377"/>
      <c r="D71" s="465" t="s">
        <v>382</v>
      </c>
      <c r="E71" s="518"/>
      <c r="F71" s="478"/>
      <c r="G71" s="102">
        <v>0</v>
      </c>
      <c r="H71" s="101"/>
      <c r="I71" s="53"/>
      <c r="J71" s="518"/>
      <c r="K71" s="522"/>
      <c r="L71" s="102">
        <v>0</v>
      </c>
      <c r="M71" s="101"/>
      <c r="N71" s="53"/>
      <c r="O71" s="518"/>
      <c r="P71" s="522"/>
      <c r="Q71" s="102">
        <v>0</v>
      </c>
      <c r="R71" s="101"/>
      <c r="S71" s="53"/>
      <c r="T71" s="518"/>
      <c r="U71" s="522"/>
      <c r="V71" s="102">
        <v>0</v>
      </c>
      <c r="W71" s="101"/>
      <c r="X71" s="53"/>
      <c r="Y71" s="518"/>
      <c r="Z71" s="522"/>
      <c r="AA71" s="102">
        <v>0</v>
      </c>
      <c r="AB71" s="101"/>
      <c r="AC71" s="53"/>
      <c r="AD71" s="518"/>
      <c r="AE71" s="522"/>
      <c r="AF71" s="102">
        <v>0</v>
      </c>
      <c r="AG71" s="101"/>
      <c r="AH71" s="53"/>
      <c r="AI71" s="518"/>
      <c r="AJ71" s="522"/>
      <c r="AK71" s="102">
        <v>0</v>
      </c>
      <c r="AL71" s="101"/>
      <c r="AM71" s="53"/>
      <c r="AN71" s="518"/>
      <c r="AO71" s="522"/>
      <c r="AP71" s="102">
        <v>0</v>
      </c>
      <c r="AQ71" s="101"/>
      <c r="AR71" s="53"/>
      <c r="AS71" s="518"/>
      <c r="AT71" s="522"/>
      <c r="AU71" s="102">
        <v>0</v>
      </c>
      <c r="AV71" s="101"/>
      <c r="AW71" s="53"/>
      <c r="AX71" s="518"/>
      <c r="AY71" s="522"/>
      <c r="AZ71" s="102">
        <v>0</v>
      </c>
      <c r="BA71" s="101"/>
      <c r="BB71" s="53"/>
      <c r="BC71" s="518"/>
      <c r="BD71" s="522"/>
      <c r="BE71" s="102">
        <v>0</v>
      </c>
      <c r="BF71" s="101"/>
      <c r="BG71" s="53"/>
      <c r="BH71" s="518"/>
      <c r="BI71" s="522"/>
      <c r="BJ71" s="102">
        <v>0</v>
      </c>
      <c r="BK71" s="101"/>
      <c r="BL71" s="53"/>
      <c r="BM71" s="518"/>
      <c r="BN71" s="522"/>
      <c r="BO71" s="102">
        <v>0</v>
      </c>
      <c r="BP71" s="101"/>
      <c r="BQ71" s="53"/>
      <c r="BR71" s="518"/>
      <c r="BS71" s="522"/>
      <c r="BT71" s="102">
        <f>SUM(L71:BO71)</f>
        <v>0</v>
      </c>
      <c r="BU71" s="101"/>
      <c r="BV71" s="53"/>
      <c r="BW71" s="465"/>
      <c r="BZ71" s="410"/>
      <c r="CA71" s="410"/>
    </row>
    <row r="72" spans="1:79" ht="12.75" hidden="1" customHeight="1" x14ac:dyDescent="0.2">
      <c r="A72" s="377"/>
      <c r="B72" s="377"/>
      <c r="D72" s="465"/>
      <c r="E72" s="518"/>
      <c r="F72" s="377"/>
      <c r="G72" s="53"/>
      <c r="H72" s="53"/>
      <c r="I72" s="53"/>
      <c r="J72" s="518"/>
      <c r="K72" s="53"/>
      <c r="L72" s="53"/>
      <c r="M72" s="53"/>
      <c r="N72" s="53"/>
      <c r="O72" s="518"/>
      <c r="P72" s="53"/>
      <c r="Q72" s="53"/>
      <c r="R72" s="53"/>
      <c r="S72" s="53"/>
      <c r="T72" s="518"/>
      <c r="U72" s="53"/>
      <c r="V72" s="53"/>
      <c r="W72" s="53"/>
      <c r="X72" s="53"/>
      <c r="Y72" s="518"/>
      <c r="Z72" s="53"/>
      <c r="AA72" s="53"/>
      <c r="AB72" s="53"/>
      <c r="AC72" s="53"/>
      <c r="AD72" s="518"/>
      <c r="AE72" s="53"/>
      <c r="AF72" s="53"/>
      <c r="AG72" s="53"/>
      <c r="AH72" s="53"/>
      <c r="AI72" s="518"/>
      <c r="AJ72" s="53"/>
      <c r="AK72" s="53"/>
      <c r="AL72" s="53"/>
      <c r="AM72" s="53"/>
      <c r="AN72" s="518"/>
      <c r="AO72" s="53"/>
      <c r="AP72" s="53"/>
      <c r="AQ72" s="53"/>
      <c r="AR72" s="53"/>
      <c r="AS72" s="518"/>
      <c r="AT72" s="53"/>
      <c r="AU72" s="53"/>
      <c r="AV72" s="53"/>
      <c r="AW72" s="53"/>
      <c r="AX72" s="518"/>
      <c r="AY72" s="53"/>
      <c r="AZ72" s="53"/>
      <c r="BA72" s="53"/>
      <c r="BB72" s="53"/>
      <c r="BC72" s="518"/>
      <c r="BD72" s="53"/>
      <c r="BE72" s="53"/>
      <c r="BF72" s="53"/>
      <c r="BG72" s="53"/>
      <c r="BH72" s="518"/>
      <c r="BI72" s="53"/>
      <c r="BJ72" s="53"/>
      <c r="BK72" s="53"/>
      <c r="BL72" s="53"/>
      <c r="BM72" s="518"/>
      <c r="BN72" s="53"/>
      <c r="BO72" s="53"/>
      <c r="BP72" s="53"/>
      <c r="BQ72" s="53"/>
      <c r="BR72" s="518"/>
      <c r="BS72" s="53"/>
      <c r="BT72" s="53"/>
      <c r="BU72" s="53"/>
      <c r="BV72" s="53"/>
      <c r="BW72" s="465"/>
      <c r="BZ72" s="410"/>
      <c r="CA72" s="410"/>
    </row>
    <row r="73" spans="1:79" ht="12.75" customHeight="1" x14ac:dyDescent="0.2">
      <c r="A73" s="377"/>
      <c r="B73" s="377"/>
      <c r="D73" s="465" t="s">
        <v>391</v>
      </c>
      <c r="E73" s="518"/>
      <c r="F73" s="377"/>
      <c r="G73" s="53">
        <f>SUM(G74:G77)</f>
        <v>0</v>
      </c>
      <c r="H73" s="53"/>
      <c r="I73" s="53"/>
      <c r="J73" s="518"/>
      <c r="K73" s="53"/>
      <c r="L73" s="53">
        <f>SUM(L74:L77)</f>
        <v>0</v>
      </c>
      <c r="M73" s="53"/>
      <c r="N73" s="53"/>
      <c r="O73" s="518"/>
      <c r="P73" s="53"/>
      <c r="Q73" s="53">
        <f>SUM(Q74:Q77)</f>
        <v>0</v>
      </c>
      <c r="R73" s="53"/>
      <c r="S73" s="53"/>
      <c r="T73" s="518"/>
      <c r="U73" s="53"/>
      <c r="V73" s="53">
        <f>SUM(V74:V77)</f>
        <v>297021</v>
      </c>
      <c r="W73" s="53"/>
      <c r="X73" s="53"/>
      <c r="Y73" s="518"/>
      <c r="Z73" s="53"/>
      <c r="AA73" s="53">
        <f>SUM(AA74:AA77)</f>
        <v>854761</v>
      </c>
      <c r="AB73" s="53"/>
      <c r="AC73" s="53"/>
      <c r="AD73" s="518"/>
      <c r="AE73" s="53"/>
      <c r="AF73" s="53">
        <f>SUM(AF74:AF77)</f>
        <v>1016515</v>
      </c>
      <c r="AG73" s="53"/>
      <c r="AH73" s="53"/>
      <c r="AI73" s="518"/>
      <c r="AJ73" s="53"/>
      <c r="AK73" s="53">
        <f>SUM(AK74:AK77)</f>
        <v>816649</v>
      </c>
      <c r="AL73" s="53"/>
      <c r="AM73" s="53"/>
      <c r="AN73" s="518"/>
      <c r="AO73" s="53"/>
      <c r="AP73" s="53">
        <f>SUM(AP74:AP77)</f>
        <v>0</v>
      </c>
      <c r="AQ73" s="53"/>
      <c r="AR73" s="53"/>
      <c r="AS73" s="518"/>
      <c r="AT73" s="53"/>
      <c r="AU73" s="53">
        <f>SUM(AU74:AU77)</f>
        <v>0</v>
      </c>
      <c r="AV73" s="53"/>
      <c r="AW73" s="53"/>
      <c r="AX73" s="518"/>
      <c r="AY73" s="53"/>
      <c r="AZ73" s="53">
        <f>SUM(AZ74:AZ77)</f>
        <v>0</v>
      </c>
      <c r="BA73" s="53"/>
      <c r="BB73" s="53"/>
      <c r="BC73" s="518"/>
      <c r="BD73" s="53"/>
      <c r="BE73" s="53">
        <f>SUM(BE74:BE77)</f>
        <v>0</v>
      </c>
      <c r="BF73" s="53"/>
      <c r="BG73" s="53"/>
      <c r="BH73" s="518"/>
      <c r="BI73" s="53"/>
      <c r="BJ73" s="53">
        <f>SUM(BJ74:BJ77)</f>
        <v>0</v>
      </c>
      <c r="BK73" s="53"/>
      <c r="BL73" s="53"/>
      <c r="BM73" s="518"/>
      <c r="BN73" s="53"/>
      <c r="BO73" s="53">
        <f>SUM(BO74:BO77)</f>
        <v>0</v>
      </c>
      <c r="BP73" s="53"/>
      <c r="BQ73" s="53"/>
      <c r="BR73" s="518"/>
      <c r="BS73" s="53"/>
      <c r="BT73" s="53">
        <f>SUM(BT74:BT77)</f>
        <v>2984946</v>
      </c>
      <c r="BU73" s="53"/>
      <c r="BV73" s="53"/>
      <c r="BW73" s="465"/>
      <c r="BZ73" s="410"/>
      <c r="CA73" s="410"/>
    </row>
    <row r="74" spans="1:79" ht="12.75" customHeight="1" x14ac:dyDescent="0.2">
      <c r="A74" s="377"/>
      <c r="B74" s="377"/>
      <c r="D74" s="465" t="s">
        <v>378</v>
      </c>
      <c r="E74" s="518"/>
      <c r="F74" s="469"/>
      <c r="G74" s="520">
        <v>0</v>
      </c>
      <c r="H74" s="521"/>
      <c r="I74" s="53"/>
      <c r="J74" s="518"/>
      <c r="K74" s="519"/>
      <c r="L74" s="520">
        <v>0</v>
      </c>
      <c r="M74" s="521"/>
      <c r="N74" s="53"/>
      <c r="O74" s="518"/>
      <c r="P74" s="519"/>
      <c r="Q74" s="520">
        <v>0</v>
      </c>
      <c r="R74" s="521"/>
      <c r="S74" s="53"/>
      <c r="T74" s="518"/>
      <c r="U74" s="519"/>
      <c r="V74" s="520">
        <f>250000-49430</f>
        <v>200570</v>
      </c>
      <c r="W74" s="521"/>
      <c r="X74" s="53"/>
      <c r="Y74" s="518"/>
      <c r="Z74" s="519"/>
      <c r="AA74" s="520">
        <f>720000-156260</f>
        <v>563740</v>
      </c>
      <c r="AB74" s="521"/>
      <c r="AC74" s="53"/>
      <c r="AD74" s="518"/>
      <c r="AE74" s="519"/>
      <c r="AF74" s="520">
        <f>860000-183365</f>
        <v>676635</v>
      </c>
      <c r="AG74" s="521"/>
      <c r="AH74" s="53"/>
      <c r="AI74" s="518"/>
      <c r="AJ74" s="519"/>
      <c r="AK74" s="520">
        <f>690000-131934</f>
        <v>558066</v>
      </c>
      <c r="AL74" s="521"/>
      <c r="AM74" s="53"/>
      <c r="AN74" s="518"/>
      <c r="AO74" s="519"/>
      <c r="AP74" s="520">
        <v>0</v>
      </c>
      <c r="AQ74" s="521"/>
      <c r="AR74" s="53"/>
      <c r="AS74" s="518"/>
      <c r="AT74" s="519"/>
      <c r="AU74" s="520">
        <v>0</v>
      </c>
      <c r="AV74" s="521"/>
      <c r="AW74" s="53"/>
      <c r="AX74" s="518"/>
      <c r="AY74" s="519"/>
      <c r="AZ74" s="520">
        <v>0</v>
      </c>
      <c r="BA74" s="521"/>
      <c r="BB74" s="53"/>
      <c r="BC74" s="518"/>
      <c r="BD74" s="519"/>
      <c r="BE74" s="520">
        <v>0</v>
      </c>
      <c r="BF74" s="521"/>
      <c r="BG74" s="53"/>
      <c r="BH74" s="518"/>
      <c r="BI74" s="519"/>
      <c r="BJ74" s="520">
        <v>0</v>
      </c>
      <c r="BK74" s="521"/>
      <c r="BL74" s="53"/>
      <c r="BM74" s="518"/>
      <c r="BN74" s="519"/>
      <c r="BO74" s="520">
        <v>0</v>
      </c>
      <c r="BP74" s="521"/>
      <c r="BQ74" s="53"/>
      <c r="BR74" s="518"/>
      <c r="BS74" s="519"/>
      <c r="BT74" s="520">
        <f>SUM(L74:BO74)</f>
        <v>1999011</v>
      </c>
      <c r="BU74" s="521"/>
      <c r="BV74" s="53"/>
      <c r="BW74" s="465"/>
      <c r="BZ74" s="410"/>
      <c r="CA74" s="410"/>
    </row>
    <row r="75" spans="1:79" ht="12.75" customHeight="1" x14ac:dyDescent="0.2">
      <c r="A75" s="377"/>
      <c r="B75" s="377"/>
      <c r="D75" s="465" t="s">
        <v>380</v>
      </c>
      <c r="E75" s="518"/>
      <c r="F75" s="417"/>
      <c r="G75" s="53">
        <v>0</v>
      </c>
      <c r="H75" s="52"/>
      <c r="I75" s="53"/>
      <c r="J75" s="518"/>
      <c r="K75" s="518"/>
      <c r="L75" s="53">
        <v>0</v>
      </c>
      <c r="M75" s="52"/>
      <c r="N75" s="53"/>
      <c r="O75" s="518"/>
      <c r="P75" s="518"/>
      <c r="Q75" s="53">
        <v>0</v>
      </c>
      <c r="R75" s="52"/>
      <c r="S75" s="53"/>
      <c r="T75" s="518"/>
      <c r="U75" s="518"/>
      <c r="V75" s="53">
        <v>49430</v>
      </c>
      <c r="W75" s="52"/>
      <c r="X75" s="53"/>
      <c r="Y75" s="518"/>
      <c r="Z75" s="518"/>
      <c r="AA75" s="53">
        <v>156260</v>
      </c>
      <c r="AB75" s="52"/>
      <c r="AC75" s="53"/>
      <c r="AD75" s="518"/>
      <c r="AE75" s="518"/>
      <c r="AF75" s="53">
        <v>183365</v>
      </c>
      <c r="AG75" s="52"/>
      <c r="AH75" s="53"/>
      <c r="AI75" s="518"/>
      <c r="AJ75" s="518"/>
      <c r="AK75" s="53">
        <v>131934</v>
      </c>
      <c r="AL75" s="52"/>
      <c r="AM75" s="53"/>
      <c r="AN75" s="518"/>
      <c r="AO75" s="518"/>
      <c r="AP75" s="53">
        <v>0</v>
      </c>
      <c r="AQ75" s="52"/>
      <c r="AR75" s="53"/>
      <c r="AS75" s="518"/>
      <c r="AT75" s="518"/>
      <c r="AU75" s="53">
        <v>0</v>
      </c>
      <c r="AV75" s="52"/>
      <c r="AW75" s="53"/>
      <c r="AX75" s="518"/>
      <c r="AY75" s="518"/>
      <c r="AZ75" s="53">
        <v>0</v>
      </c>
      <c r="BA75" s="52"/>
      <c r="BB75" s="53"/>
      <c r="BC75" s="518"/>
      <c r="BD75" s="518"/>
      <c r="BE75" s="53">
        <v>0</v>
      </c>
      <c r="BF75" s="52"/>
      <c r="BG75" s="53"/>
      <c r="BH75" s="518"/>
      <c r="BI75" s="518"/>
      <c r="BJ75" s="53">
        <v>0</v>
      </c>
      <c r="BK75" s="52"/>
      <c r="BL75" s="53"/>
      <c r="BM75" s="518"/>
      <c r="BN75" s="518"/>
      <c r="BO75" s="53">
        <v>0</v>
      </c>
      <c r="BP75" s="52"/>
      <c r="BQ75" s="53"/>
      <c r="BR75" s="518"/>
      <c r="BS75" s="518"/>
      <c r="BT75" s="53">
        <f>SUM(L75:BO75)</f>
        <v>520989</v>
      </c>
      <c r="BU75" s="52"/>
      <c r="BV75" s="53"/>
      <c r="BW75" s="465"/>
      <c r="BZ75" s="410"/>
      <c r="CA75" s="410"/>
    </row>
    <row r="76" spans="1:79" ht="12.75" customHeight="1" x14ac:dyDescent="0.2">
      <c r="A76" s="377"/>
      <c r="B76" s="377"/>
      <c r="D76" s="465" t="s">
        <v>381</v>
      </c>
      <c r="E76" s="518"/>
      <c r="F76" s="417"/>
      <c r="G76" s="53">
        <v>0</v>
      </c>
      <c r="H76" s="52"/>
      <c r="I76" s="53"/>
      <c r="J76" s="518"/>
      <c r="K76" s="518"/>
      <c r="L76" s="53">
        <v>0</v>
      </c>
      <c r="M76" s="52"/>
      <c r="N76" s="53"/>
      <c r="O76" s="518"/>
      <c r="P76" s="518"/>
      <c r="Q76" s="53">
        <v>0</v>
      </c>
      <c r="R76" s="52"/>
      <c r="S76" s="53"/>
      <c r="T76" s="518"/>
      <c r="U76" s="518"/>
      <c r="V76" s="53">
        <v>0</v>
      </c>
      <c r="W76" s="52"/>
      <c r="X76" s="53"/>
      <c r="Y76" s="518"/>
      <c r="Z76" s="518"/>
      <c r="AA76" s="53">
        <v>0</v>
      </c>
      <c r="AB76" s="52"/>
      <c r="AC76" s="53"/>
      <c r="AD76" s="518"/>
      <c r="AE76" s="518"/>
      <c r="AF76" s="53">
        <v>0</v>
      </c>
      <c r="AG76" s="52"/>
      <c r="AH76" s="53"/>
      <c r="AI76" s="518"/>
      <c r="AJ76" s="518"/>
      <c r="AK76" s="53">
        <v>0</v>
      </c>
      <c r="AL76" s="52"/>
      <c r="AM76" s="53"/>
      <c r="AN76" s="518"/>
      <c r="AO76" s="518"/>
      <c r="AP76" s="53">
        <v>0</v>
      </c>
      <c r="AQ76" s="52"/>
      <c r="AR76" s="53"/>
      <c r="AS76" s="518"/>
      <c r="AT76" s="518"/>
      <c r="AU76" s="53">
        <v>0</v>
      </c>
      <c r="AV76" s="52"/>
      <c r="AW76" s="53"/>
      <c r="AX76" s="518"/>
      <c r="AY76" s="518"/>
      <c r="AZ76" s="53">
        <v>0</v>
      </c>
      <c r="BA76" s="52"/>
      <c r="BB76" s="53"/>
      <c r="BC76" s="518"/>
      <c r="BD76" s="518"/>
      <c r="BE76" s="53">
        <v>0</v>
      </c>
      <c r="BF76" s="52"/>
      <c r="BG76" s="53"/>
      <c r="BH76" s="518"/>
      <c r="BI76" s="518"/>
      <c r="BJ76" s="53">
        <v>0</v>
      </c>
      <c r="BK76" s="52"/>
      <c r="BL76" s="53"/>
      <c r="BM76" s="518"/>
      <c r="BN76" s="518"/>
      <c r="BO76" s="53">
        <v>0</v>
      </c>
      <c r="BP76" s="52"/>
      <c r="BQ76" s="53"/>
      <c r="BR76" s="518"/>
      <c r="BS76" s="518"/>
      <c r="BT76" s="53">
        <f>SUM(L76:BO76)</f>
        <v>0</v>
      </c>
      <c r="BU76" s="52"/>
      <c r="BV76" s="53"/>
      <c r="BW76" s="465"/>
      <c r="BZ76" s="410"/>
      <c r="CA76" s="410"/>
    </row>
    <row r="77" spans="1:79" ht="12.75" customHeight="1" x14ac:dyDescent="0.2">
      <c r="A77" s="377"/>
      <c r="B77" s="377"/>
      <c r="D77" s="465" t="s">
        <v>382</v>
      </c>
      <c r="E77" s="518"/>
      <c r="F77" s="478"/>
      <c r="G77" s="102">
        <v>0</v>
      </c>
      <c r="H77" s="101"/>
      <c r="I77" s="53"/>
      <c r="J77" s="518"/>
      <c r="K77" s="522"/>
      <c r="L77" s="102">
        <v>0</v>
      </c>
      <c r="M77" s="101"/>
      <c r="N77" s="53"/>
      <c r="O77" s="518"/>
      <c r="P77" s="522"/>
      <c r="Q77" s="102">
        <v>0</v>
      </c>
      <c r="R77" s="101"/>
      <c r="S77" s="53"/>
      <c r="T77" s="518"/>
      <c r="U77" s="522"/>
      <c r="V77" s="102">
        <v>47021</v>
      </c>
      <c r="W77" s="101"/>
      <c r="X77" s="53"/>
      <c r="Y77" s="518"/>
      <c r="Z77" s="522"/>
      <c r="AA77" s="102">
        <v>134761</v>
      </c>
      <c r="AB77" s="101"/>
      <c r="AC77" s="53"/>
      <c r="AD77" s="518"/>
      <c r="AE77" s="522"/>
      <c r="AF77" s="102">
        <v>156515</v>
      </c>
      <c r="AG77" s="101"/>
      <c r="AH77" s="53"/>
      <c r="AI77" s="518"/>
      <c r="AJ77" s="522"/>
      <c r="AK77" s="102">
        <v>126649</v>
      </c>
      <c r="AL77" s="101"/>
      <c r="AM77" s="53"/>
      <c r="AN77" s="518"/>
      <c r="AO77" s="522"/>
      <c r="AP77" s="102">
        <v>0</v>
      </c>
      <c r="AQ77" s="101"/>
      <c r="AR77" s="53"/>
      <c r="AS77" s="518"/>
      <c r="AT77" s="522"/>
      <c r="AU77" s="102">
        <v>0</v>
      </c>
      <c r="AV77" s="101"/>
      <c r="AW77" s="53"/>
      <c r="AX77" s="518"/>
      <c r="AY77" s="522"/>
      <c r="AZ77" s="102">
        <v>0</v>
      </c>
      <c r="BA77" s="101"/>
      <c r="BB77" s="53"/>
      <c r="BC77" s="518"/>
      <c r="BD77" s="522"/>
      <c r="BE77" s="102">
        <v>0</v>
      </c>
      <c r="BF77" s="101"/>
      <c r="BG77" s="53"/>
      <c r="BH77" s="518"/>
      <c r="BI77" s="522"/>
      <c r="BJ77" s="102">
        <v>0</v>
      </c>
      <c r="BK77" s="101"/>
      <c r="BL77" s="53"/>
      <c r="BM77" s="518"/>
      <c r="BN77" s="522"/>
      <c r="BO77" s="102">
        <v>0</v>
      </c>
      <c r="BP77" s="101"/>
      <c r="BQ77" s="53"/>
      <c r="BR77" s="518"/>
      <c r="BS77" s="522"/>
      <c r="BT77" s="102">
        <f>SUM(L77:BO77)</f>
        <v>464946</v>
      </c>
      <c r="BU77" s="101"/>
      <c r="BV77" s="53"/>
      <c r="BW77" s="465"/>
      <c r="BZ77" s="410"/>
      <c r="CA77" s="410"/>
    </row>
    <row r="78" spans="1:79" ht="8.25" customHeight="1" x14ac:dyDescent="0.2">
      <c r="A78" s="377"/>
      <c r="B78" s="377"/>
      <c r="D78" s="465"/>
      <c r="F78" s="377"/>
      <c r="G78" s="53"/>
      <c r="H78" s="53"/>
      <c r="I78" s="53"/>
      <c r="J78" s="518"/>
      <c r="K78" s="53"/>
      <c r="L78" s="53"/>
      <c r="M78" s="53"/>
      <c r="N78" s="53"/>
      <c r="O78" s="518"/>
      <c r="P78" s="53"/>
      <c r="Q78" s="53"/>
      <c r="R78" s="53"/>
      <c r="S78" s="53"/>
      <c r="T78" s="518"/>
      <c r="U78" s="53"/>
      <c r="V78" s="53"/>
      <c r="W78" s="53"/>
      <c r="X78" s="53"/>
      <c r="Y78" s="518"/>
      <c r="Z78" s="53"/>
      <c r="AA78" s="53"/>
      <c r="AB78" s="53"/>
      <c r="AC78" s="53"/>
      <c r="AD78" s="518"/>
      <c r="AE78" s="53"/>
      <c r="AF78" s="53"/>
      <c r="AG78" s="53"/>
      <c r="AH78" s="53"/>
      <c r="AI78" s="518"/>
      <c r="AJ78" s="53"/>
      <c r="AK78" s="53"/>
      <c r="AL78" s="53"/>
      <c r="AM78" s="53"/>
      <c r="AN78" s="518"/>
      <c r="AO78" s="53"/>
      <c r="AP78" s="53"/>
      <c r="AQ78" s="53"/>
      <c r="AR78" s="53"/>
      <c r="AS78" s="518"/>
      <c r="AT78" s="53"/>
      <c r="AU78" s="53"/>
      <c r="AV78" s="53"/>
      <c r="AW78" s="53"/>
      <c r="AX78" s="518"/>
      <c r="AY78" s="53"/>
      <c r="AZ78" s="53"/>
      <c r="BA78" s="53"/>
      <c r="BB78" s="53"/>
      <c r="BC78" s="518"/>
      <c r="BD78" s="53"/>
      <c r="BE78" s="53"/>
      <c r="BF78" s="53"/>
      <c r="BG78" s="53"/>
      <c r="BH78" s="518"/>
      <c r="BI78" s="53"/>
      <c r="BJ78" s="53"/>
      <c r="BK78" s="53"/>
      <c r="BL78" s="53"/>
      <c r="BM78" s="518"/>
      <c r="BN78" s="53"/>
      <c r="BO78" s="53"/>
      <c r="BP78" s="53"/>
      <c r="BQ78" s="53"/>
      <c r="BR78" s="518"/>
      <c r="BS78" s="53"/>
      <c r="BT78" s="53"/>
      <c r="BU78" s="53"/>
      <c r="BV78" s="53"/>
      <c r="BW78" s="465"/>
      <c r="BZ78" s="410"/>
      <c r="CA78" s="410"/>
    </row>
    <row r="79" spans="1:79" ht="12.75" hidden="1" customHeight="1" x14ac:dyDescent="0.2">
      <c r="A79" s="377"/>
      <c r="B79" s="377"/>
      <c r="D79" s="465" t="s">
        <v>392</v>
      </c>
      <c r="E79" s="518"/>
      <c r="F79" s="377"/>
      <c r="G79" s="53">
        <f>SUM(G80:G82)</f>
        <v>0</v>
      </c>
      <c r="H79" s="53"/>
      <c r="I79" s="53"/>
      <c r="J79" s="518"/>
      <c r="K79" s="53"/>
      <c r="L79" s="53">
        <f>SUM(L80:L82)</f>
        <v>0</v>
      </c>
      <c r="M79" s="53"/>
      <c r="N79" s="53"/>
      <c r="O79" s="518"/>
      <c r="P79" s="53"/>
      <c r="Q79" s="53">
        <f>SUM(Q80:Q82)</f>
        <v>0</v>
      </c>
      <c r="R79" s="53"/>
      <c r="S79" s="53"/>
      <c r="T79" s="518"/>
      <c r="U79" s="53"/>
      <c r="V79" s="53">
        <f>SUM(V80:V82)</f>
        <v>0</v>
      </c>
      <c r="W79" s="53"/>
      <c r="X79" s="53"/>
      <c r="Y79" s="518"/>
      <c r="Z79" s="53"/>
      <c r="AA79" s="53">
        <f>SUM(AA80:AA82)</f>
        <v>0</v>
      </c>
      <c r="AB79" s="53"/>
      <c r="AC79" s="53"/>
      <c r="AD79" s="518"/>
      <c r="AE79" s="53"/>
      <c r="AF79" s="53">
        <f>SUM(AF80:AF82)</f>
        <v>0</v>
      </c>
      <c r="AG79" s="53"/>
      <c r="AH79" s="53"/>
      <c r="AI79" s="518"/>
      <c r="AJ79" s="53"/>
      <c r="AK79" s="53">
        <f>SUM(AK80:AK82)</f>
        <v>0</v>
      </c>
      <c r="AL79" s="53"/>
      <c r="AM79" s="53"/>
      <c r="AN79" s="518"/>
      <c r="AO79" s="53"/>
      <c r="AP79" s="53">
        <f>SUM(AP80:AP82)</f>
        <v>0</v>
      </c>
      <c r="AQ79" s="53"/>
      <c r="AR79" s="53"/>
      <c r="AS79" s="518"/>
      <c r="AT79" s="53"/>
      <c r="AU79" s="53">
        <f>SUM(AU80:AU82)</f>
        <v>0</v>
      </c>
      <c r="AV79" s="53"/>
      <c r="AW79" s="53"/>
      <c r="AX79" s="518"/>
      <c r="AY79" s="53"/>
      <c r="AZ79" s="53">
        <f>SUM(AZ80:AZ82)</f>
        <v>0</v>
      </c>
      <c r="BA79" s="53"/>
      <c r="BB79" s="53"/>
      <c r="BC79" s="518"/>
      <c r="BD79" s="53"/>
      <c r="BE79" s="53">
        <f>SUM(BE80:BE82)</f>
        <v>0</v>
      </c>
      <c r="BF79" s="53"/>
      <c r="BG79" s="53"/>
      <c r="BH79" s="518"/>
      <c r="BI79" s="53"/>
      <c r="BJ79" s="53">
        <f>SUM(BJ80:BJ82)</f>
        <v>0</v>
      </c>
      <c r="BK79" s="53"/>
      <c r="BL79" s="53"/>
      <c r="BM79" s="518"/>
      <c r="BN79" s="53"/>
      <c r="BO79" s="53">
        <f>SUM(BO80:BO82)</f>
        <v>0</v>
      </c>
      <c r="BP79" s="53"/>
      <c r="BQ79" s="53"/>
      <c r="BR79" s="518"/>
      <c r="BS79" s="53"/>
      <c r="BT79" s="53">
        <f>SUM(BT80:BT82)</f>
        <v>0</v>
      </c>
      <c r="BU79" s="53"/>
      <c r="BV79" s="53"/>
      <c r="BW79" s="465"/>
      <c r="BZ79" s="410"/>
      <c r="CA79" s="410"/>
    </row>
    <row r="80" spans="1:79" ht="12.75" hidden="1" customHeight="1" x14ac:dyDescent="0.2">
      <c r="A80" s="377"/>
      <c r="B80" s="377"/>
      <c r="D80" s="465" t="s">
        <v>378</v>
      </c>
      <c r="E80" s="518"/>
      <c r="F80" s="469"/>
      <c r="G80" s="520">
        <v>0</v>
      </c>
      <c r="H80" s="521"/>
      <c r="I80" s="53"/>
      <c r="J80" s="518"/>
      <c r="K80" s="519"/>
      <c r="L80" s="520">
        <v>0</v>
      </c>
      <c r="M80" s="521"/>
      <c r="N80" s="53"/>
      <c r="O80" s="518"/>
      <c r="P80" s="519"/>
      <c r="Q80" s="520">
        <v>0</v>
      </c>
      <c r="R80" s="521"/>
      <c r="S80" s="53"/>
      <c r="T80" s="518"/>
      <c r="U80" s="519"/>
      <c r="V80" s="520">
        <v>0</v>
      </c>
      <c r="W80" s="521"/>
      <c r="X80" s="53"/>
      <c r="Y80" s="518"/>
      <c r="Z80" s="519"/>
      <c r="AA80" s="520">
        <v>0</v>
      </c>
      <c r="AB80" s="521"/>
      <c r="AC80" s="53"/>
      <c r="AD80" s="518"/>
      <c r="AE80" s="519"/>
      <c r="AF80" s="520">
        <v>0</v>
      </c>
      <c r="AG80" s="521"/>
      <c r="AH80" s="53"/>
      <c r="AI80" s="518"/>
      <c r="AJ80" s="519"/>
      <c r="AK80" s="520">
        <v>0</v>
      </c>
      <c r="AL80" s="521"/>
      <c r="AM80" s="53"/>
      <c r="AN80" s="518"/>
      <c r="AO80" s="519"/>
      <c r="AP80" s="520">
        <v>0</v>
      </c>
      <c r="AQ80" s="521"/>
      <c r="AR80" s="53"/>
      <c r="AS80" s="518"/>
      <c r="AT80" s="519"/>
      <c r="AU80" s="520">
        <v>0</v>
      </c>
      <c r="AV80" s="521"/>
      <c r="AW80" s="53"/>
      <c r="AX80" s="518"/>
      <c r="AY80" s="519"/>
      <c r="AZ80" s="520">
        <v>0</v>
      </c>
      <c r="BA80" s="521"/>
      <c r="BB80" s="53"/>
      <c r="BC80" s="518"/>
      <c r="BD80" s="519"/>
      <c r="BE80" s="520">
        <v>0</v>
      </c>
      <c r="BF80" s="521"/>
      <c r="BG80" s="53"/>
      <c r="BH80" s="518"/>
      <c r="BI80" s="519"/>
      <c r="BJ80" s="520">
        <v>0</v>
      </c>
      <c r="BK80" s="521"/>
      <c r="BL80" s="53"/>
      <c r="BM80" s="518"/>
      <c r="BN80" s="519"/>
      <c r="BO80" s="520">
        <v>0</v>
      </c>
      <c r="BP80" s="521"/>
      <c r="BQ80" s="53"/>
      <c r="BR80" s="518"/>
      <c r="BS80" s="519"/>
      <c r="BT80" s="520">
        <f>SUM(L80:BO80)</f>
        <v>0</v>
      </c>
      <c r="BU80" s="521"/>
      <c r="BV80" s="53"/>
      <c r="BW80" s="465"/>
      <c r="BZ80" s="410"/>
      <c r="CA80" s="410"/>
    </row>
    <row r="81" spans="1:79" ht="12.75" hidden="1" customHeight="1" x14ac:dyDescent="0.2">
      <c r="A81" s="377"/>
      <c r="B81" s="377"/>
      <c r="D81" s="465" t="s">
        <v>380</v>
      </c>
      <c r="E81" s="518"/>
      <c r="F81" s="417"/>
      <c r="G81" s="53">
        <v>0</v>
      </c>
      <c r="H81" s="52"/>
      <c r="I81" s="53"/>
      <c r="J81" s="518"/>
      <c r="K81" s="518"/>
      <c r="L81" s="53">
        <v>0</v>
      </c>
      <c r="M81" s="52"/>
      <c r="N81" s="53"/>
      <c r="O81" s="518"/>
      <c r="P81" s="518"/>
      <c r="Q81" s="53">
        <v>0</v>
      </c>
      <c r="R81" s="52"/>
      <c r="S81" s="53"/>
      <c r="T81" s="518"/>
      <c r="U81" s="518"/>
      <c r="V81" s="53">
        <v>0</v>
      </c>
      <c r="W81" s="52"/>
      <c r="X81" s="53"/>
      <c r="Y81" s="518"/>
      <c r="Z81" s="518"/>
      <c r="AA81" s="53">
        <v>0</v>
      </c>
      <c r="AB81" s="52"/>
      <c r="AC81" s="53"/>
      <c r="AD81" s="518"/>
      <c r="AE81" s="518"/>
      <c r="AF81" s="53">
        <v>0</v>
      </c>
      <c r="AG81" s="52"/>
      <c r="AH81" s="53"/>
      <c r="AI81" s="518"/>
      <c r="AJ81" s="518"/>
      <c r="AK81" s="53">
        <v>0</v>
      </c>
      <c r="AL81" s="52"/>
      <c r="AM81" s="53"/>
      <c r="AN81" s="518"/>
      <c r="AO81" s="518"/>
      <c r="AP81" s="53">
        <v>0</v>
      </c>
      <c r="AQ81" s="52"/>
      <c r="AR81" s="53"/>
      <c r="AS81" s="518"/>
      <c r="AT81" s="518"/>
      <c r="AU81" s="53">
        <v>0</v>
      </c>
      <c r="AV81" s="52"/>
      <c r="AW81" s="53"/>
      <c r="AX81" s="518"/>
      <c r="AY81" s="518"/>
      <c r="AZ81" s="53">
        <v>0</v>
      </c>
      <c r="BA81" s="52"/>
      <c r="BB81" s="53"/>
      <c r="BC81" s="518"/>
      <c r="BD81" s="518"/>
      <c r="BE81" s="53">
        <v>0</v>
      </c>
      <c r="BF81" s="52"/>
      <c r="BG81" s="53"/>
      <c r="BH81" s="518"/>
      <c r="BI81" s="518"/>
      <c r="BJ81" s="53">
        <v>0</v>
      </c>
      <c r="BK81" s="52"/>
      <c r="BL81" s="53"/>
      <c r="BM81" s="518"/>
      <c r="BN81" s="518"/>
      <c r="BO81" s="53">
        <v>0</v>
      </c>
      <c r="BP81" s="52"/>
      <c r="BQ81" s="53"/>
      <c r="BR81" s="518"/>
      <c r="BS81" s="518"/>
      <c r="BT81" s="53">
        <f>SUM(L81:BO81)</f>
        <v>0</v>
      </c>
      <c r="BU81" s="52"/>
      <c r="BV81" s="53"/>
      <c r="BW81" s="465"/>
      <c r="BZ81" s="410"/>
      <c r="CA81" s="410"/>
    </row>
    <row r="82" spans="1:79" ht="12.75" hidden="1" customHeight="1" x14ac:dyDescent="0.2">
      <c r="A82" s="377"/>
      <c r="B82" s="377"/>
      <c r="D82" s="465" t="s">
        <v>388</v>
      </c>
      <c r="E82" s="518"/>
      <c r="F82" s="478"/>
      <c r="G82" s="102">
        <v>0</v>
      </c>
      <c r="H82" s="101"/>
      <c r="I82" s="53"/>
      <c r="J82" s="518"/>
      <c r="K82" s="522"/>
      <c r="L82" s="102">
        <v>0</v>
      </c>
      <c r="M82" s="101"/>
      <c r="N82" s="53"/>
      <c r="O82" s="518"/>
      <c r="P82" s="522"/>
      <c r="Q82" s="102">
        <v>0</v>
      </c>
      <c r="R82" s="101"/>
      <c r="S82" s="53"/>
      <c r="T82" s="518"/>
      <c r="U82" s="522"/>
      <c r="V82" s="102">
        <v>0</v>
      </c>
      <c r="W82" s="101"/>
      <c r="X82" s="53"/>
      <c r="Y82" s="518"/>
      <c r="Z82" s="522"/>
      <c r="AA82" s="102">
        <v>0</v>
      </c>
      <c r="AB82" s="101"/>
      <c r="AC82" s="53"/>
      <c r="AD82" s="518"/>
      <c r="AE82" s="522"/>
      <c r="AF82" s="102">
        <v>0</v>
      </c>
      <c r="AG82" s="101"/>
      <c r="AH82" s="53"/>
      <c r="AI82" s="518"/>
      <c r="AJ82" s="522"/>
      <c r="AK82" s="102">
        <v>0</v>
      </c>
      <c r="AL82" s="101"/>
      <c r="AM82" s="53"/>
      <c r="AN82" s="518"/>
      <c r="AO82" s="522"/>
      <c r="AP82" s="102">
        <v>0</v>
      </c>
      <c r="AQ82" s="101"/>
      <c r="AR82" s="53"/>
      <c r="AS82" s="518"/>
      <c r="AT82" s="522"/>
      <c r="AU82" s="102">
        <v>0</v>
      </c>
      <c r="AV82" s="101"/>
      <c r="AW82" s="53"/>
      <c r="AX82" s="518"/>
      <c r="AY82" s="522"/>
      <c r="AZ82" s="102">
        <v>0</v>
      </c>
      <c r="BA82" s="101"/>
      <c r="BB82" s="53"/>
      <c r="BC82" s="518"/>
      <c r="BD82" s="522"/>
      <c r="BE82" s="102">
        <v>0</v>
      </c>
      <c r="BF82" s="101"/>
      <c r="BG82" s="53"/>
      <c r="BH82" s="518"/>
      <c r="BI82" s="522"/>
      <c r="BJ82" s="102">
        <v>0</v>
      </c>
      <c r="BK82" s="101"/>
      <c r="BL82" s="53"/>
      <c r="BM82" s="518"/>
      <c r="BN82" s="522"/>
      <c r="BO82" s="102">
        <v>0</v>
      </c>
      <c r="BP82" s="101"/>
      <c r="BQ82" s="53"/>
      <c r="BR82" s="518"/>
      <c r="BS82" s="522"/>
      <c r="BT82" s="102">
        <f>SUM(L82:BO82)</f>
        <v>0</v>
      </c>
      <c r="BU82" s="101"/>
      <c r="BV82" s="53"/>
      <c r="BW82" s="465"/>
      <c r="BZ82" s="410"/>
      <c r="CA82" s="410"/>
    </row>
    <row r="83" spans="1:79" s="377" customFormat="1" ht="12.75" hidden="1" customHeight="1" x14ac:dyDescent="0.2">
      <c r="D83" s="454"/>
      <c r="E83" s="487"/>
      <c r="F83" s="486"/>
      <c r="G83" s="378"/>
      <c r="H83" s="378"/>
      <c r="I83" s="378"/>
      <c r="J83" s="482"/>
      <c r="K83" s="378"/>
      <c r="L83" s="378"/>
      <c r="M83" s="378"/>
      <c r="N83" s="378"/>
      <c r="O83" s="482"/>
      <c r="P83" s="378"/>
      <c r="Q83" s="378"/>
      <c r="R83" s="378"/>
      <c r="S83" s="378"/>
      <c r="T83" s="482"/>
      <c r="U83" s="378"/>
      <c r="V83" s="378"/>
      <c r="W83" s="378"/>
      <c r="X83" s="378"/>
      <c r="Y83" s="482"/>
      <c r="Z83" s="378"/>
      <c r="AA83" s="378"/>
      <c r="AB83" s="378"/>
      <c r="AC83" s="378"/>
      <c r="AD83" s="482"/>
      <c r="AE83" s="378"/>
      <c r="AF83" s="378"/>
      <c r="AG83" s="378"/>
      <c r="AH83" s="378"/>
      <c r="AI83" s="482"/>
      <c r="AJ83" s="378"/>
      <c r="AK83" s="378"/>
      <c r="AL83" s="378"/>
      <c r="AM83" s="378"/>
      <c r="AN83" s="482"/>
      <c r="AO83" s="378"/>
      <c r="AP83" s="378"/>
      <c r="AQ83" s="378"/>
      <c r="AR83" s="378"/>
      <c r="AS83" s="482"/>
      <c r="AT83" s="378"/>
      <c r="AU83" s="378"/>
      <c r="AV83" s="378"/>
      <c r="AW83" s="378"/>
      <c r="AX83" s="482"/>
      <c r="AY83" s="378"/>
      <c r="AZ83" s="378"/>
      <c r="BA83" s="378"/>
      <c r="BB83" s="378"/>
      <c r="BC83" s="482"/>
      <c r="BD83" s="378"/>
      <c r="BE83" s="378"/>
      <c r="BF83" s="378"/>
      <c r="BG83" s="378"/>
      <c r="BH83" s="482"/>
      <c r="BI83" s="378"/>
      <c r="BJ83" s="378"/>
      <c r="BK83" s="378"/>
      <c r="BL83" s="378"/>
      <c r="BM83" s="482"/>
      <c r="BN83" s="378"/>
      <c r="BO83" s="378"/>
      <c r="BP83" s="378"/>
      <c r="BQ83" s="378"/>
      <c r="BR83" s="482"/>
      <c r="BS83" s="378"/>
      <c r="BT83" s="378"/>
      <c r="BU83" s="378"/>
      <c r="BV83" s="378"/>
      <c r="BW83" s="465"/>
      <c r="BY83" s="38"/>
      <c r="BZ83" s="410"/>
      <c r="CA83" s="410"/>
    </row>
    <row r="84" spans="1:79" ht="12.75" hidden="1" customHeight="1" x14ac:dyDescent="0.2">
      <c r="A84" s="377"/>
      <c r="B84" s="377"/>
      <c r="D84" s="465" t="s">
        <v>393</v>
      </c>
      <c r="E84" s="518"/>
      <c r="F84" s="377"/>
      <c r="G84" s="53">
        <f>SUM(G85:G88)</f>
        <v>0</v>
      </c>
      <c r="H84" s="53"/>
      <c r="I84" s="53"/>
      <c r="J84" s="518"/>
      <c r="K84" s="53"/>
      <c r="L84" s="53">
        <f>SUM(L85:L88)</f>
        <v>0</v>
      </c>
      <c r="M84" s="53"/>
      <c r="N84" s="53"/>
      <c r="O84" s="518"/>
      <c r="P84" s="53"/>
      <c r="Q84" s="53">
        <f>SUM(Q85:Q88)</f>
        <v>0</v>
      </c>
      <c r="R84" s="53"/>
      <c r="S84" s="53"/>
      <c r="T84" s="518"/>
      <c r="U84" s="53"/>
      <c r="V84" s="53">
        <f>SUM(V85:V88)</f>
        <v>0</v>
      </c>
      <c r="W84" s="53"/>
      <c r="X84" s="53"/>
      <c r="Y84" s="518"/>
      <c r="Z84" s="53"/>
      <c r="AA84" s="53">
        <f>SUM(AA85:AA88)</f>
        <v>0</v>
      </c>
      <c r="AB84" s="53"/>
      <c r="AC84" s="53"/>
      <c r="AD84" s="518"/>
      <c r="AE84" s="53"/>
      <c r="AF84" s="53">
        <f>SUM(AF85:AF88)</f>
        <v>0</v>
      </c>
      <c r="AG84" s="53"/>
      <c r="AH84" s="53"/>
      <c r="AI84" s="518"/>
      <c r="AJ84" s="53"/>
      <c r="AK84" s="53">
        <f>SUM(AK85:AK88)</f>
        <v>0</v>
      </c>
      <c r="AL84" s="53"/>
      <c r="AM84" s="53"/>
      <c r="AN84" s="518"/>
      <c r="AO84" s="53"/>
      <c r="AP84" s="53">
        <f>SUM(AP85:AP88)</f>
        <v>0</v>
      </c>
      <c r="AQ84" s="53"/>
      <c r="AR84" s="53"/>
      <c r="AS84" s="518"/>
      <c r="AT84" s="53"/>
      <c r="AU84" s="53">
        <f>SUM(AU85:AU88)</f>
        <v>0</v>
      </c>
      <c r="AV84" s="53"/>
      <c r="AW84" s="53"/>
      <c r="AX84" s="518"/>
      <c r="AY84" s="53"/>
      <c r="AZ84" s="53">
        <f>SUM(AZ85:AZ88)</f>
        <v>0</v>
      </c>
      <c r="BA84" s="53"/>
      <c r="BB84" s="53"/>
      <c r="BC84" s="518"/>
      <c r="BD84" s="53"/>
      <c r="BE84" s="53">
        <f>SUM(BE85:BE88)</f>
        <v>0</v>
      </c>
      <c r="BF84" s="53"/>
      <c r="BG84" s="53"/>
      <c r="BH84" s="518"/>
      <c r="BI84" s="53"/>
      <c r="BJ84" s="53">
        <f>SUM(BJ85:BJ88)</f>
        <v>0</v>
      </c>
      <c r="BK84" s="53"/>
      <c r="BL84" s="53"/>
      <c r="BM84" s="518"/>
      <c r="BN84" s="53"/>
      <c r="BO84" s="53">
        <f>SUM(BO85:BO88)</f>
        <v>0</v>
      </c>
      <c r="BP84" s="53"/>
      <c r="BQ84" s="53"/>
      <c r="BR84" s="518"/>
      <c r="BS84" s="53"/>
      <c r="BT84" s="53">
        <f>SUM(BT85:BT88)</f>
        <v>0</v>
      </c>
      <c r="BU84" s="53"/>
      <c r="BV84" s="53"/>
      <c r="BW84" s="465"/>
      <c r="BZ84" s="410"/>
      <c r="CA84" s="410"/>
    </row>
    <row r="85" spans="1:79" ht="12.75" hidden="1" customHeight="1" x14ac:dyDescent="0.2">
      <c r="A85" s="377"/>
      <c r="B85" s="377"/>
      <c r="D85" s="553" t="s">
        <v>378</v>
      </c>
      <c r="E85" s="518"/>
      <c r="F85" s="469"/>
      <c r="G85" s="520">
        <v>0</v>
      </c>
      <c r="H85" s="521"/>
      <c r="I85" s="53"/>
      <c r="J85" s="518"/>
      <c r="K85" s="519"/>
      <c r="L85" s="520">
        <v>0</v>
      </c>
      <c r="M85" s="521"/>
      <c r="N85" s="53"/>
      <c r="O85" s="518"/>
      <c r="P85" s="519"/>
      <c r="Q85" s="520">
        <v>0</v>
      </c>
      <c r="R85" s="521"/>
      <c r="S85" s="53"/>
      <c r="T85" s="518"/>
      <c r="U85" s="519"/>
      <c r="V85" s="520">
        <v>0</v>
      </c>
      <c r="W85" s="521"/>
      <c r="X85" s="53"/>
      <c r="Y85" s="518"/>
      <c r="Z85" s="519"/>
      <c r="AA85" s="520">
        <v>0</v>
      </c>
      <c r="AB85" s="521"/>
      <c r="AC85" s="53"/>
      <c r="AD85" s="518"/>
      <c r="AE85" s="519"/>
      <c r="AF85" s="520">
        <v>0</v>
      </c>
      <c r="AG85" s="521"/>
      <c r="AH85" s="53"/>
      <c r="AI85" s="518"/>
      <c r="AJ85" s="519"/>
      <c r="AK85" s="520">
        <v>0</v>
      </c>
      <c r="AL85" s="521"/>
      <c r="AM85" s="53"/>
      <c r="AN85" s="518"/>
      <c r="AO85" s="519"/>
      <c r="AP85" s="520">
        <v>0</v>
      </c>
      <c r="AQ85" s="521"/>
      <c r="AR85" s="53"/>
      <c r="AS85" s="518"/>
      <c r="AT85" s="519"/>
      <c r="AU85" s="520">
        <v>0</v>
      </c>
      <c r="AV85" s="521"/>
      <c r="AW85" s="53"/>
      <c r="AX85" s="518"/>
      <c r="AY85" s="519"/>
      <c r="AZ85" s="520">
        <v>0</v>
      </c>
      <c r="BA85" s="521"/>
      <c r="BB85" s="53"/>
      <c r="BC85" s="518"/>
      <c r="BD85" s="519"/>
      <c r="BE85" s="520">
        <v>0</v>
      </c>
      <c r="BF85" s="521"/>
      <c r="BG85" s="53"/>
      <c r="BH85" s="518"/>
      <c r="BI85" s="519"/>
      <c r="BJ85" s="520">
        <v>0</v>
      </c>
      <c r="BK85" s="521"/>
      <c r="BL85" s="53"/>
      <c r="BM85" s="518"/>
      <c r="BN85" s="519"/>
      <c r="BO85" s="520">
        <v>0</v>
      </c>
      <c r="BP85" s="521"/>
      <c r="BQ85" s="53"/>
      <c r="BR85" s="518"/>
      <c r="BS85" s="519"/>
      <c r="BT85" s="520">
        <f>SUM(L85:BO85)</f>
        <v>0</v>
      </c>
      <c r="BU85" s="521"/>
      <c r="BV85" s="53"/>
      <c r="BW85" s="465"/>
      <c r="BZ85" s="410"/>
      <c r="CA85" s="410"/>
    </row>
    <row r="86" spans="1:79" ht="12.75" hidden="1" customHeight="1" x14ac:dyDescent="0.2">
      <c r="A86" s="377"/>
      <c r="B86" s="377"/>
      <c r="D86" s="553" t="s">
        <v>380</v>
      </c>
      <c r="E86" s="518"/>
      <c r="F86" s="417"/>
      <c r="G86" s="53">
        <v>0</v>
      </c>
      <c r="H86" s="52"/>
      <c r="I86" s="53"/>
      <c r="J86" s="518"/>
      <c r="K86" s="518"/>
      <c r="L86" s="53">
        <v>0</v>
      </c>
      <c r="M86" s="52"/>
      <c r="N86" s="53"/>
      <c r="O86" s="518"/>
      <c r="P86" s="518"/>
      <c r="Q86" s="53">
        <v>0</v>
      </c>
      <c r="R86" s="52"/>
      <c r="S86" s="53"/>
      <c r="T86" s="518"/>
      <c r="U86" s="518"/>
      <c r="V86" s="53">
        <v>0</v>
      </c>
      <c r="W86" s="52"/>
      <c r="X86" s="53"/>
      <c r="Y86" s="518"/>
      <c r="Z86" s="518"/>
      <c r="AA86" s="53">
        <v>0</v>
      </c>
      <c r="AB86" s="52"/>
      <c r="AC86" s="53"/>
      <c r="AD86" s="518"/>
      <c r="AE86" s="518"/>
      <c r="AF86" s="53">
        <v>0</v>
      </c>
      <c r="AG86" s="52"/>
      <c r="AH86" s="53"/>
      <c r="AI86" s="518"/>
      <c r="AJ86" s="518"/>
      <c r="AK86" s="53">
        <v>0</v>
      </c>
      <c r="AL86" s="52"/>
      <c r="AM86" s="53"/>
      <c r="AN86" s="518"/>
      <c r="AO86" s="518"/>
      <c r="AP86" s="53">
        <v>0</v>
      </c>
      <c r="AQ86" s="52"/>
      <c r="AR86" s="53"/>
      <c r="AS86" s="518"/>
      <c r="AT86" s="518"/>
      <c r="AU86" s="53">
        <v>0</v>
      </c>
      <c r="AV86" s="52"/>
      <c r="AW86" s="53"/>
      <c r="AX86" s="518"/>
      <c r="AY86" s="518"/>
      <c r="AZ86" s="53">
        <v>0</v>
      </c>
      <c r="BA86" s="52"/>
      <c r="BB86" s="53"/>
      <c r="BC86" s="518"/>
      <c r="BD86" s="518"/>
      <c r="BE86" s="53">
        <v>0</v>
      </c>
      <c r="BF86" s="52"/>
      <c r="BG86" s="53"/>
      <c r="BH86" s="518"/>
      <c r="BI86" s="518"/>
      <c r="BJ86" s="53">
        <v>0</v>
      </c>
      <c r="BK86" s="52"/>
      <c r="BL86" s="53"/>
      <c r="BM86" s="518"/>
      <c r="BN86" s="518"/>
      <c r="BO86" s="53">
        <v>0</v>
      </c>
      <c r="BP86" s="52"/>
      <c r="BQ86" s="53"/>
      <c r="BR86" s="518"/>
      <c r="BS86" s="518"/>
      <c r="BT86" s="53">
        <f>SUM(L86:BO86)</f>
        <v>0</v>
      </c>
      <c r="BU86" s="52"/>
      <c r="BV86" s="53"/>
      <c r="BW86" s="465"/>
      <c r="BZ86" s="410"/>
      <c r="CA86" s="410"/>
    </row>
    <row r="87" spans="1:79" ht="12.75" hidden="1" customHeight="1" x14ac:dyDescent="0.2">
      <c r="A87" s="377"/>
      <c r="B87" s="377"/>
      <c r="D87" s="465" t="s">
        <v>381</v>
      </c>
      <c r="E87" s="518"/>
      <c r="F87" s="417"/>
      <c r="G87" s="53">
        <v>0</v>
      </c>
      <c r="H87" s="52"/>
      <c r="I87" s="53"/>
      <c r="J87" s="518"/>
      <c r="K87" s="518"/>
      <c r="L87" s="53">
        <v>0</v>
      </c>
      <c r="M87" s="52"/>
      <c r="N87" s="53"/>
      <c r="O87" s="518"/>
      <c r="P87" s="518"/>
      <c r="Q87" s="53">
        <v>0</v>
      </c>
      <c r="R87" s="52"/>
      <c r="S87" s="53"/>
      <c r="T87" s="518"/>
      <c r="U87" s="518"/>
      <c r="V87" s="53">
        <v>0</v>
      </c>
      <c r="W87" s="52"/>
      <c r="X87" s="53"/>
      <c r="Y87" s="518"/>
      <c r="Z87" s="518"/>
      <c r="AA87" s="53">
        <v>0</v>
      </c>
      <c r="AB87" s="52"/>
      <c r="AC87" s="53"/>
      <c r="AD87" s="518"/>
      <c r="AE87" s="518"/>
      <c r="AF87" s="53">
        <v>0</v>
      </c>
      <c r="AG87" s="52"/>
      <c r="AH87" s="53"/>
      <c r="AI87" s="518"/>
      <c r="AJ87" s="518"/>
      <c r="AK87" s="53">
        <v>0</v>
      </c>
      <c r="AL87" s="52"/>
      <c r="AM87" s="53"/>
      <c r="AN87" s="518"/>
      <c r="AO87" s="518"/>
      <c r="AP87" s="53">
        <v>0</v>
      </c>
      <c r="AQ87" s="52"/>
      <c r="AR87" s="53"/>
      <c r="AS87" s="518"/>
      <c r="AT87" s="518"/>
      <c r="AU87" s="53">
        <v>0</v>
      </c>
      <c r="AV87" s="52"/>
      <c r="AW87" s="53"/>
      <c r="AX87" s="518"/>
      <c r="AY87" s="518"/>
      <c r="AZ87" s="53">
        <v>0</v>
      </c>
      <c r="BA87" s="52"/>
      <c r="BB87" s="53"/>
      <c r="BC87" s="518"/>
      <c r="BD87" s="518"/>
      <c r="BE87" s="53">
        <v>0</v>
      </c>
      <c r="BF87" s="52"/>
      <c r="BG87" s="53"/>
      <c r="BH87" s="518"/>
      <c r="BI87" s="518"/>
      <c r="BJ87" s="53">
        <v>0</v>
      </c>
      <c r="BK87" s="52"/>
      <c r="BL87" s="53"/>
      <c r="BM87" s="518"/>
      <c r="BN87" s="518"/>
      <c r="BO87" s="53">
        <v>0</v>
      </c>
      <c r="BP87" s="52"/>
      <c r="BQ87" s="53"/>
      <c r="BR87" s="518"/>
      <c r="BS87" s="518"/>
      <c r="BT87" s="53">
        <f>SUM(L87:BO87)</f>
        <v>0</v>
      </c>
      <c r="BU87" s="52"/>
      <c r="BV87" s="53"/>
      <c r="BW87" s="465"/>
      <c r="BZ87" s="410"/>
      <c r="CA87" s="410"/>
    </row>
    <row r="88" spans="1:79" ht="12.75" hidden="1" customHeight="1" x14ac:dyDescent="0.2">
      <c r="A88" s="377"/>
      <c r="B88" s="377"/>
      <c r="D88" s="465" t="s">
        <v>382</v>
      </c>
      <c r="E88" s="518"/>
      <c r="F88" s="478"/>
      <c r="G88" s="102">
        <v>0</v>
      </c>
      <c r="H88" s="101"/>
      <c r="I88" s="53"/>
      <c r="J88" s="518"/>
      <c r="K88" s="522"/>
      <c r="L88" s="102">
        <v>0</v>
      </c>
      <c r="M88" s="101"/>
      <c r="N88" s="53"/>
      <c r="O88" s="518"/>
      <c r="P88" s="522"/>
      <c r="Q88" s="102">
        <v>0</v>
      </c>
      <c r="R88" s="101"/>
      <c r="S88" s="53"/>
      <c r="T88" s="518"/>
      <c r="U88" s="522"/>
      <c r="V88" s="102">
        <v>0</v>
      </c>
      <c r="W88" s="101"/>
      <c r="X88" s="53"/>
      <c r="Y88" s="518"/>
      <c r="Z88" s="522"/>
      <c r="AA88" s="102">
        <v>0</v>
      </c>
      <c r="AB88" s="101"/>
      <c r="AC88" s="53"/>
      <c r="AD88" s="518"/>
      <c r="AE88" s="522"/>
      <c r="AF88" s="102">
        <v>0</v>
      </c>
      <c r="AG88" s="101"/>
      <c r="AH88" s="53"/>
      <c r="AI88" s="518"/>
      <c r="AJ88" s="522"/>
      <c r="AK88" s="102">
        <v>0</v>
      </c>
      <c r="AL88" s="101"/>
      <c r="AM88" s="53"/>
      <c r="AN88" s="518"/>
      <c r="AO88" s="522"/>
      <c r="AP88" s="102">
        <v>0</v>
      </c>
      <c r="AQ88" s="101"/>
      <c r="AR88" s="53"/>
      <c r="AS88" s="518"/>
      <c r="AT88" s="522"/>
      <c r="AU88" s="102">
        <v>0</v>
      </c>
      <c r="AV88" s="101"/>
      <c r="AW88" s="53"/>
      <c r="AX88" s="518"/>
      <c r="AY88" s="522"/>
      <c r="AZ88" s="102">
        <v>0</v>
      </c>
      <c r="BA88" s="101"/>
      <c r="BB88" s="53"/>
      <c r="BC88" s="518"/>
      <c r="BD88" s="522"/>
      <c r="BE88" s="102">
        <v>0</v>
      </c>
      <c r="BF88" s="101"/>
      <c r="BG88" s="53"/>
      <c r="BH88" s="518"/>
      <c r="BI88" s="522"/>
      <c r="BJ88" s="102">
        <v>0</v>
      </c>
      <c r="BK88" s="101"/>
      <c r="BL88" s="53"/>
      <c r="BM88" s="518"/>
      <c r="BN88" s="522"/>
      <c r="BO88" s="102">
        <v>0</v>
      </c>
      <c r="BP88" s="101"/>
      <c r="BQ88" s="53"/>
      <c r="BR88" s="518"/>
      <c r="BS88" s="522"/>
      <c r="BT88" s="102">
        <f>SUM(L88:BO88)</f>
        <v>0</v>
      </c>
      <c r="BU88" s="101"/>
      <c r="BV88" s="53"/>
      <c r="BW88" s="465"/>
      <c r="BZ88" s="410"/>
      <c r="CA88" s="410"/>
    </row>
    <row r="89" spans="1:79" ht="8.25" hidden="1" customHeight="1" x14ac:dyDescent="0.2">
      <c r="A89" s="377"/>
      <c r="B89" s="377"/>
      <c r="D89" s="465"/>
      <c r="F89" s="377"/>
      <c r="G89" s="53"/>
      <c r="H89" s="53"/>
      <c r="I89" s="53"/>
      <c r="J89" s="518"/>
      <c r="K89" s="53"/>
      <c r="L89" s="53"/>
      <c r="M89" s="53"/>
      <c r="N89" s="53"/>
      <c r="O89" s="518"/>
      <c r="P89" s="53"/>
      <c r="Q89" s="53"/>
      <c r="R89" s="53"/>
      <c r="S89" s="53"/>
      <c r="T89" s="518"/>
      <c r="U89" s="53"/>
      <c r="V89" s="53"/>
      <c r="W89" s="53"/>
      <c r="X89" s="53"/>
      <c r="Y89" s="518"/>
      <c r="Z89" s="53"/>
      <c r="AA89" s="53"/>
      <c r="AB89" s="53"/>
      <c r="AC89" s="53"/>
      <c r="AD89" s="518"/>
      <c r="AE89" s="53"/>
      <c r="AF89" s="53"/>
      <c r="AG89" s="53"/>
      <c r="AH89" s="53"/>
      <c r="AI89" s="518"/>
      <c r="AJ89" s="53"/>
      <c r="AK89" s="53"/>
      <c r="AL89" s="53"/>
      <c r="AM89" s="53"/>
      <c r="AN89" s="518"/>
      <c r="AO89" s="53"/>
      <c r="AP89" s="53"/>
      <c r="AQ89" s="53"/>
      <c r="AR89" s="53"/>
      <c r="AS89" s="518"/>
      <c r="AT89" s="53"/>
      <c r="AU89" s="53"/>
      <c r="AV89" s="53"/>
      <c r="AW89" s="53"/>
      <c r="AX89" s="518"/>
      <c r="AY89" s="53"/>
      <c r="AZ89" s="53"/>
      <c r="BA89" s="53"/>
      <c r="BB89" s="53"/>
      <c r="BC89" s="518"/>
      <c r="BD89" s="53"/>
      <c r="BE89" s="53"/>
      <c r="BF89" s="53"/>
      <c r="BG89" s="53"/>
      <c r="BH89" s="518"/>
      <c r="BI89" s="53"/>
      <c r="BJ89" s="53"/>
      <c r="BK89" s="53"/>
      <c r="BL89" s="53"/>
      <c r="BM89" s="518"/>
      <c r="BN89" s="53"/>
      <c r="BO89" s="53"/>
      <c r="BP89" s="53"/>
      <c r="BQ89" s="53"/>
      <c r="BR89" s="518"/>
      <c r="BS89" s="53"/>
      <c r="BT89" s="53"/>
      <c r="BU89" s="53"/>
      <c r="BV89" s="53"/>
      <c r="BW89" s="465"/>
      <c r="BZ89" s="410"/>
      <c r="CA89" s="410"/>
    </row>
    <row r="90" spans="1:79" ht="12.75" hidden="1" customHeight="1" x14ac:dyDescent="0.2">
      <c r="A90" s="377"/>
      <c r="B90" s="377"/>
      <c r="D90" s="465" t="s">
        <v>394</v>
      </c>
      <c r="E90" s="518"/>
      <c r="F90" s="377"/>
      <c r="G90" s="53">
        <f>SUM(G91:G93)</f>
        <v>0</v>
      </c>
      <c r="H90" s="53"/>
      <c r="I90" s="53"/>
      <c r="J90" s="518"/>
      <c r="K90" s="53"/>
      <c r="L90" s="53">
        <f>SUM(L91:L93)</f>
        <v>0</v>
      </c>
      <c r="M90" s="53"/>
      <c r="N90" s="53"/>
      <c r="O90" s="518"/>
      <c r="P90" s="53"/>
      <c r="Q90" s="53">
        <f>SUM(Q91:Q93)</f>
        <v>0</v>
      </c>
      <c r="R90" s="53"/>
      <c r="S90" s="53"/>
      <c r="T90" s="518"/>
      <c r="U90" s="53"/>
      <c r="V90" s="53">
        <f>SUM(V91:V93)</f>
        <v>0</v>
      </c>
      <c r="W90" s="53"/>
      <c r="X90" s="53"/>
      <c r="Y90" s="518"/>
      <c r="Z90" s="53"/>
      <c r="AA90" s="53">
        <f>SUM(AA91:AA93)</f>
        <v>0</v>
      </c>
      <c r="AB90" s="53"/>
      <c r="AC90" s="53"/>
      <c r="AD90" s="518"/>
      <c r="AE90" s="53"/>
      <c r="AF90" s="53">
        <f>SUM(AF91:AF93)</f>
        <v>0</v>
      </c>
      <c r="AG90" s="53"/>
      <c r="AH90" s="53"/>
      <c r="AI90" s="518"/>
      <c r="AJ90" s="53"/>
      <c r="AK90" s="53">
        <f>SUM(AK91:AK93)</f>
        <v>0</v>
      </c>
      <c r="AL90" s="53"/>
      <c r="AM90" s="53"/>
      <c r="AN90" s="518"/>
      <c r="AO90" s="53"/>
      <c r="AP90" s="53">
        <f>SUM(AP91:AP93)</f>
        <v>0</v>
      </c>
      <c r="AQ90" s="53"/>
      <c r="AR90" s="53"/>
      <c r="AS90" s="518"/>
      <c r="AT90" s="53"/>
      <c r="AU90" s="53">
        <f>SUM(AU91:AU93)</f>
        <v>0</v>
      </c>
      <c r="AV90" s="53"/>
      <c r="AW90" s="53"/>
      <c r="AX90" s="518"/>
      <c r="AY90" s="53"/>
      <c r="AZ90" s="53">
        <f>SUM(AZ91:AZ93)</f>
        <v>0</v>
      </c>
      <c r="BA90" s="53"/>
      <c r="BB90" s="53"/>
      <c r="BC90" s="518"/>
      <c r="BD90" s="53"/>
      <c r="BE90" s="53">
        <f>SUM(BE91:BE93)</f>
        <v>0</v>
      </c>
      <c r="BF90" s="53"/>
      <c r="BG90" s="53"/>
      <c r="BH90" s="518"/>
      <c r="BI90" s="53"/>
      <c r="BJ90" s="53">
        <f>SUM(BJ91:BJ93)</f>
        <v>0</v>
      </c>
      <c r="BK90" s="53"/>
      <c r="BL90" s="53"/>
      <c r="BM90" s="518"/>
      <c r="BN90" s="53"/>
      <c r="BO90" s="53">
        <f>SUM(BO91:BO93)</f>
        <v>0</v>
      </c>
      <c r="BP90" s="53"/>
      <c r="BQ90" s="53"/>
      <c r="BR90" s="518"/>
      <c r="BS90" s="53"/>
      <c r="BT90" s="53">
        <f>SUM(BT91:BT93)</f>
        <v>0</v>
      </c>
      <c r="BU90" s="53"/>
      <c r="BV90" s="53"/>
      <c r="BW90" s="465"/>
      <c r="BZ90" s="410"/>
      <c r="CA90" s="410"/>
    </row>
    <row r="91" spans="1:79" ht="12.75" hidden="1" customHeight="1" x14ac:dyDescent="0.2">
      <c r="A91" s="377"/>
      <c r="B91" s="377"/>
      <c r="D91" s="465" t="s">
        <v>378</v>
      </c>
      <c r="E91" s="518"/>
      <c r="F91" s="469"/>
      <c r="G91" s="520">
        <v>0</v>
      </c>
      <c r="H91" s="521"/>
      <c r="I91" s="53"/>
      <c r="J91" s="518"/>
      <c r="K91" s="519"/>
      <c r="L91" s="520">
        <v>0</v>
      </c>
      <c r="M91" s="521"/>
      <c r="N91" s="53"/>
      <c r="O91" s="518"/>
      <c r="P91" s="519"/>
      <c r="Q91" s="520">
        <v>0</v>
      </c>
      <c r="R91" s="521"/>
      <c r="S91" s="53"/>
      <c r="T91" s="518"/>
      <c r="U91" s="469"/>
      <c r="V91" s="520">
        <v>0</v>
      </c>
      <c r="W91" s="521"/>
      <c r="X91" s="53"/>
      <c r="Y91" s="518"/>
      <c r="Z91" s="519"/>
      <c r="AA91" s="520">
        <v>0</v>
      </c>
      <c r="AB91" s="521"/>
      <c r="AC91" s="53"/>
      <c r="AD91" s="518"/>
      <c r="AE91" s="519"/>
      <c r="AF91" s="520">
        <v>0</v>
      </c>
      <c r="AG91" s="521"/>
      <c r="AH91" s="53"/>
      <c r="AI91" s="518"/>
      <c r="AJ91" s="519"/>
      <c r="AK91" s="520">
        <v>0</v>
      </c>
      <c r="AL91" s="521"/>
      <c r="AM91" s="53"/>
      <c r="AN91" s="518"/>
      <c r="AO91" s="519"/>
      <c r="AP91" s="520">
        <v>0</v>
      </c>
      <c r="AQ91" s="521"/>
      <c r="AR91" s="53"/>
      <c r="AS91" s="518"/>
      <c r="AT91" s="519"/>
      <c r="AU91" s="520">
        <v>0</v>
      </c>
      <c r="AV91" s="521"/>
      <c r="AW91" s="53"/>
      <c r="AX91" s="518"/>
      <c r="AY91" s="519"/>
      <c r="AZ91" s="520">
        <v>0</v>
      </c>
      <c r="BA91" s="521"/>
      <c r="BB91" s="53"/>
      <c r="BC91" s="518"/>
      <c r="BD91" s="519"/>
      <c r="BE91" s="520">
        <v>0</v>
      </c>
      <c r="BF91" s="521"/>
      <c r="BG91" s="53"/>
      <c r="BH91" s="518"/>
      <c r="BI91" s="519"/>
      <c r="BJ91" s="520">
        <v>0</v>
      </c>
      <c r="BK91" s="521"/>
      <c r="BL91" s="53"/>
      <c r="BM91" s="518"/>
      <c r="BN91" s="519"/>
      <c r="BO91" s="520">
        <v>0</v>
      </c>
      <c r="BP91" s="521"/>
      <c r="BQ91" s="53"/>
      <c r="BR91" s="518"/>
      <c r="BS91" s="519"/>
      <c r="BT91" s="520">
        <f>SUM(L91:BO91)</f>
        <v>0</v>
      </c>
      <c r="BU91" s="521"/>
      <c r="BV91" s="53"/>
      <c r="BW91" s="465"/>
      <c r="BZ91" s="410"/>
      <c r="CA91" s="410"/>
    </row>
    <row r="92" spans="1:79" ht="12.75" hidden="1" customHeight="1" x14ac:dyDescent="0.2">
      <c r="A92" s="377"/>
      <c r="B92" s="377"/>
      <c r="D92" s="465" t="s">
        <v>380</v>
      </c>
      <c r="E92" s="518"/>
      <c r="F92" s="417"/>
      <c r="G92" s="53">
        <v>0</v>
      </c>
      <c r="H92" s="52"/>
      <c r="I92" s="53"/>
      <c r="J92" s="518"/>
      <c r="K92" s="518"/>
      <c r="L92" s="53">
        <v>0</v>
      </c>
      <c r="M92" s="52"/>
      <c r="N92" s="53"/>
      <c r="O92" s="518"/>
      <c r="P92" s="518"/>
      <c r="Q92" s="53">
        <v>0</v>
      </c>
      <c r="R92" s="52"/>
      <c r="S92" s="53"/>
      <c r="T92" s="518"/>
      <c r="U92" s="417"/>
      <c r="V92" s="53">
        <v>0</v>
      </c>
      <c r="W92" s="52"/>
      <c r="X92" s="53"/>
      <c r="Y92" s="518"/>
      <c r="Z92" s="518"/>
      <c r="AA92" s="53">
        <v>0</v>
      </c>
      <c r="AB92" s="52"/>
      <c r="AC92" s="53"/>
      <c r="AD92" s="518"/>
      <c r="AE92" s="518"/>
      <c r="AF92" s="53">
        <v>0</v>
      </c>
      <c r="AG92" s="52"/>
      <c r="AH92" s="53"/>
      <c r="AI92" s="518"/>
      <c r="AJ92" s="518"/>
      <c r="AK92" s="53">
        <v>0</v>
      </c>
      <c r="AL92" s="52"/>
      <c r="AM92" s="53"/>
      <c r="AN92" s="518"/>
      <c r="AO92" s="518"/>
      <c r="AP92" s="53">
        <v>0</v>
      </c>
      <c r="AQ92" s="52"/>
      <c r="AR92" s="53"/>
      <c r="AS92" s="518"/>
      <c r="AT92" s="518"/>
      <c r="AU92" s="53">
        <v>0</v>
      </c>
      <c r="AV92" s="52"/>
      <c r="AW92" s="53"/>
      <c r="AX92" s="518"/>
      <c r="AY92" s="518"/>
      <c r="AZ92" s="53">
        <v>0</v>
      </c>
      <c r="BA92" s="52"/>
      <c r="BB92" s="53"/>
      <c r="BC92" s="518"/>
      <c r="BD92" s="518"/>
      <c r="BE92" s="53">
        <v>0</v>
      </c>
      <c r="BF92" s="52"/>
      <c r="BG92" s="53"/>
      <c r="BH92" s="518"/>
      <c r="BI92" s="518"/>
      <c r="BJ92" s="53">
        <v>0</v>
      </c>
      <c r="BK92" s="52"/>
      <c r="BL92" s="53"/>
      <c r="BM92" s="518"/>
      <c r="BN92" s="518"/>
      <c r="BO92" s="53">
        <v>0</v>
      </c>
      <c r="BP92" s="52"/>
      <c r="BQ92" s="53"/>
      <c r="BR92" s="518"/>
      <c r="BS92" s="518"/>
      <c r="BT92" s="53">
        <f>SUM(L92:BO92)</f>
        <v>0</v>
      </c>
      <c r="BU92" s="52"/>
      <c r="BV92" s="53"/>
      <c r="BW92" s="465"/>
      <c r="BZ92" s="410"/>
      <c r="CA92" s="410"/>
    </row>
    <row r="93" spans="1:79" ht="12.75" hidden="1" customHeight="1" x14ac:dyDescent="0.2">
      <c r="A93" s="377"/>
      <c r="B93" s="377"/>
      <c r="D93" s="465" t="s">
        <v>388</v>
      </c>
      <c r="E93" s="518"/>
      <c r="F93" s="478"/>
      <c r="G93" s="102">
        <v>0</v>
      </c>
      <c r="H93" s="101"/>
      <c r="I93" s="53"/>
      <c r="J93" s="518"/>
      <c r="K93" s="522"/>
      <c r="L93" s="102">
        <v>0</v>
      </c>
      <c r="M93" s="101"/>
      <c r="N93" s="53"/>
      <c r="O93" s="518"/>
      <c r="P93" s="522"/>
      <c r="Q93" s="102">
        <v>0</v>
      </c>
      <c r="R93" s="101"/>
      <c r="S93" s="53"/>
      <c r="T93" s="518"/>
      <c r="U93" s="478"/>
      <c r="V93" s="102">
        <v>0</v>
      </c>
      <c r="W93" s="101"/>
      <c r="X93" s="53"/>
      <c r="Y93" s="518"/>
      <c r="Z93" s="522"/>
      <c r="AA93" s="102">
        <v>0</v>
      </c>
      <c r="AB93" s="101"/>
      <c r="AC93" s="53"/>
      <c r="AD93" s="518"/>
      <c r="AE93" s="522"/>
      <c r="AF93" s="102">
        <v>0</v>
      </c>
      <c r="AG93" s="101"/>
      <c r="AH93" s="53"/>
      <c r="AI93" s="518"/>
      <c r="AJ93" s="522"/>
      <c r="AK93" s="102">
        <v>0</v>
      </c>
      <c r="AL93" s="101"/>
      <c r="AM93" s="53"/>
      <c r="AN93" s="518"/>
      <c r="AO93" s="522"/>
      <c r="AP93" s="102">
        <v>0</v>
      </c>
      <c r="AQ93" s="101"/>
      <c r="AR93" s="53"/>
      <c r="AS93" s="518"/>
      <c r="AT93" s="522"/>
      <c r="AU93" s="102">
        <v>0</v>
      </c>
      <c r="AV93" s="101"/>
      <c r="AW93" s="53"/>
      <c r="AX93" s="518"/>
      <c r="AY93" s="522"/>
      <c r="AZ93" s="102">
        <v>0</v>
      </c>
      <c r="BA93" s="101"/>
      <c r="BB93" s="53"/>
      <c r="BC93" s="518"/>
      <c r="BD93" s="522"/>
      <c r="BE93" s="102">
        <v>0</v>
      </c>
      <c r="BF93" s="101"/>
      <c r="BG93" s="53"/>
      <c r="BH93" s="518"/>
      <c r="BI93" s="522"/>
      <c r="BJ93" s="102">
        <v>0</v>
      </c>
      <c r="BK93" s="101"/>
      <c r="BL93" s="53"/>
      <c r="BM93" s="518"/>
      <c r="BN93" s="522"/>
      <c r="BO93" s="102">
        <v>0</v>
      </c>
      <c r="BP93" s="101"/>
      <c r="BQ93" s="53"/>
      <c r="BR93" s="518"/>
      <c r="BS93" s="522"/>
      <c r="BT93" s="102">
        <f>SUM(L93:BO93)</f>
        <v>0</v>
      </c>
      <c r="BU93" s="101"/>
      <c r="BV93" s="53"/>
      <c r="BW93" s="465"/>
      <c r="BZ93" s="410"/>
      <c r="CA93" s="410"/>
    </row>
    <row r="94" spans="1:79" ht="12.75" hidden="1" customHeight="1" x14ac:dyDescent="0.2">
      <c r="A94" s="377"/>
      <c r="B94" s="377"/>
      <c r="D94" s="465"/>
      <c r="E94" s="518"/>
      <c r="F94" s="377"/>
      <c r="G94" s="53"/>
      <c r="H94" s="53"/>
      <c r="I94" s="53"/>
      <c r="J94" s="518"/>
      <c r="K94" s="53"/>
      <c r="L94" s="53"/>
      <c r="M94" s="53"/>
      <c r="N94" s="53"/>
      <c r="O94" s="518"/>
      <c r="P94" s="53"/>
      <c r="Q94" s="53"/>
      <c r="R94" s="53"/>
      <c r="S94" s="53"/>
      <c r="T94" s="518"/>
      <c r="U94" s="53"/>
      <c r="V94" s="53"/>
      <c r="W94" s="53"/>
      <c r="X94" s="53"/>
      <c r="Y94" s="518"/>
      <c r="Z94" s="53"/>
      <c r="AA94" s="53"/>
      <c r="AB94" s="53"/>
      <c r="AC94" s="53"/>
      <c r="AD94" s="518"/>
      <c r="AE94" s="53"/>
      <c r="AF94" s="53"/>
      <c r="AG94" s="53"/>
      <c r="AH94" s="53"/>
      <c r="AI94" s="518"/>
      <c r="AJ94" s="53"/>
      <c r="AK94" s="53"/>
      <c r="AL94" s="53"/>
      <c r="AM94" s="53"/>
      <c r="AN94" s="518"/>
      <c r="AO94" s="53"/>
      <c r="AP94" s="53"/>
      <c r="AQ94" s="53"/>
      <c r="AR94" s="53"/>
      <c r="AS94" s="518"/>
      <c r="AT94" s="53"/>
      <c r="AU94" s="53"/>
      <c r="AV94" s="53"/>
      <c r="AW94" s="53"/>
      <c r="AX94" s="518"/>
      <c r="AY94" s="53"/>
      <c r="AZ94" s="53"/>
      <c r="BA94" s="53"/>
      <c r="BB94" s="53"/>
      <c r="BC94" s="518"/>
      <c r="BD94" s="53"/>
      <c r="BE94" s="53"/>
      <c r="BF94" s="53"/>
      <c r="BG94" s="53"/>
      <c r="BH94" s="518"/>
      <c r="BI94" s="53"/>
      <c r="BJ94" s="53"/>
      <c r="BK94" s="53"/>
      <c r="BL94" s="53"/>
      <c r="BM94" s="518"/>
      <c r="BN94" s="53"/>
      <c r="BO94" s="53"/>
      <c r="BP94" s="53"/>
      <c r="BQ94" s="53"/>
      <c r="BR94" s="518"/>
      <c r="BS94" s="53"/>
      <c r="BT94" s="53"/>
      <c r="BU94" s="53"/>
      <c r="BV94" s="53"/>
      <c r="BW94" s="465"/>
      <c r="BZ94" s="410"/>
      <c r="CA94" s="410"/>
    </row>
    <row r="95" spans="1:79" ht="12.75" hidden="1" customHeight="1" x14ac:dyDescent="0.2">
      <c r="A95" s="377"/>
      <c r="B95" s="377"/>
      <c r="C95" s="513"/>
      <c r="D95" s="531" t="s">
        <v>395</v>
      </c>
      <c r="E95" s="518"/>
      <c r="F95" s="377"/>
      <c r="G95" s="53">
        <f>SUM(G96:G98)</f>
        <v>0</v>
      </c>
      <c r="H95" s="53"/>
      <c r="I95" s="53"/>
      <c r="J95" s="518"/>
      <c r="K95" s="53"/>
      <c r="L95" s="53">
        <f>SUM(L96:L98)</f>
        <v>0</v>
      </c>
      <c r="M95" s="53"/>
      <c r="N95" s="53"/>
      <c r="O95" s="518"/>
      <c r="P95" s="53"/>
      <c r="Q95" s="53">
        <f>SUM(Q96:Q98)</f>
        <v>0</v>
      </c>
      <c r="R95" s="53"/>
      <c r="S95" s="53"/>
      <c r="T95" s="518"/>
      <c r="U95" s="53"/>
      <c r="V95" s="53">
        <f>SUM(V96:V98)</f>
        <v>0</v>
      </c>
      <c r="W95" s="53"/>
      <c r="X95" s="53"/>
      <c r="Y95" s="518"/>
      <c r="Z95" s="53"/>
      <c r="AA95" s="53">
        <f>SUM(AA96:AA98)</f>
        <v>0</v>
      </c>
      <c r="AB95" s="53"/>
      <c r="AC95" s="53"/>
      <c r="AD95" s="518"/>
      <c r="AE95" s="53"/>
      <c r="AF95" s="53">
        <f>SUM(AF96:AF98)</f>
        <v>0</v>
      </c>
      <c r="AG95" s="53"/>
      <c r="AH95" s="53"/>
      <c r="AI95" s="518"/>
      <c r="AJ95" s="53"/>
      <c r="AK95" s="53">
        <f>SUM(AK96:AK98)</f>
        <v>0</v>
      </c>
      <c r="AL95" s="53"/>
      <c r="AM95" s="53"/>
      <c r="AN95" s="518"/>
      <c r="AO95" s="53"/>
      <c r="AP95" s="53">
        <f>SUM(AP96:AP98)</f>
        <v>0</v>
      </c>
      <c r="AQ95" s="53"/>
      <c r="AR95" s="53"/>
      <c r="AS95" s="518"/>
      <c r="AT95" s="53"/>
      <c r="AU95" s="53">
        <f>SUM(AU96:AU98)</f>
        <v>0</v>
      </c>
      <c r="AV95" s="53"/>
      <c r="AW95" s="53"/>
      <c r="AX95" s="518"/>
      <c r="AY95" s="53"/>
      <c r="AZ95" s="53">
        <f>SUM(AZ96:AZ98)</f>
        <v>0</v>
      </c>
      <c r="BA95" s="53"/>
      <c r="BB95" s="53"/>
      <c r="BC95" s="518"/>
      <c r="BD95" s="53"/>
      <c r="BE95" s="53">
        <f>SUM(BE96:BE98)</f>
        <v>0</v>
      </c>
      <c r="BF95" s="53"/>
      <c r="BG95" s="53"/>
      <c r="BH95" s="518"/>
      <c r="BI95" s="53"/>
      <c r="BJ95" s="53">
        <f>SUM(BJ96:BJ98)</f>
        <v>0</v>
      </c>
      <c r="BK95" s="53"/>
      <c r="BL95" s="53"/>
      <c r="BM95" s="518"/>
      <c r="BN95" s="53"/>
      <c r="BO95" s="53">
        <f>SUM(BO96:BO98)</f>
        <v>0</v>
      </c>
      <c r="BP95" s="53"/>
      <c r="BQ95" s="53"/>
      <c r="BR95" s="518"/>
      <c r="BS95" s="53"/>
      <c r="BT95" s="53">
        <f>SUM(BT96:BT98)</f>
        <v>0</v>
      </c>
      <c r="BU95" s="53"/>
      <c r="BV95" s="53"/>
      <c r="BW95" s="465"/>
      <c r="BZ95" s="410"/>
      <c r="CA95" s="410"/>
    </row>
    <row r="96" spans="1:79" ht="12.75" hidden="1" customHeight="1" x14ac:dyDescent="0.2">
      <c r="A96" s="377"/>
      <c r="B96" s="377"/>
      <c r="D96" s="465" t="s">
        <v>378</v>
      </c>
      <c r="E96" s="518"/>
      <c r="F96" s="469"/>
      <c r="G96" s="520">
        <v>0</v>
      </c>
      <c r="H96" s="521"/>
      <c r="I96" s="53"/>
      <c r="J96" s="518"/>
      <c r="K96" s="519"/>
      <c r="L96" s="520">
        <v>0</v>
      </c>
      <c r="M96" s="521"/>
      <c r="N96" s="53"/>
      <c r="O96" s="518"/>
      <c r="P96" s="519"/>
      <c r="Q96" s="520">
        <v>0</v>
      </c>
      <c r="R96" s="521"/>
      <c r="S96" s="53"/>
      <c r="T96" s="518"/>
      <c r="U96" s="519"/>
      <c r="V96" s="520">
        <v>0</v>
      </c>
      <c r="W96" s="521"/>
      <c r="X96" s="53"/>
      <c r="Y96" s="518"/>
      <c r="Z96" s="519"/>
      <c r="AA96" s="520">
        <v>0</v>
      </c>
      <c r="AB96" s="521"/>
      <c r="AC96" s="53"/>
      <c r="AD96" s="518"/>
      <c r="AE96" s="519"/>
      <c r="AF96" s="520">
        <v>0</v>
      </c>
      <c r="AG96" s="521"/>
      <c r="AH96" s="53"/>
      <c r="AI96" s="518"/>
      <c r="AJ96" s="519"/>
      <c r="AK96" s="520">
        <v>0</v>
      </c>
      <c r="AL96" s="521"/>
      <c r="AM96" s="53"/>
      <c r="AN96" s="518"/>
      <c r="AO96" s="519"/>
      <c r="AP96" s="520">
        <v>0</v>
      </c>
      <c r="AQ96" s="521"/>
      <c r="AR96" s="53"/>
      <c r="AS96" s="518"/>
      <c r="AT96" s="519"/>
      <c r="AU96" s="520">
        <v>0</v>
      </c>
      <c r="AV96" s="521"/>
      <c r="AW96" s="53"/>
      <c r="AX96" s="518"/>
      <c r="AY96" s="519"/>
      <c r="AZ96" s="520">
        <v>0</v>
      </c>
      <c r="BA96" s="521"/>
      <c r="BB96" s="53"/>
      <c r="BC96" s="518"/>
      <c r="BD96" s="519"/>
      <c r="BE96" s="520">
        <v>0</v>
      </c>
      <c r="BF96" s="521"/>
      <c r="BG96" s="53"/>
      <c r="BH96" s="518"/>
      <c r="BI96" s="519"/>
      <c r="BJ96" s="520">
        <v>0</v>
      </c>
      <c r="BK96" s="521"/>
      <c r="BL96" s="53"/>
      <c r="BM96" s="518"/>
      <c r="BN96" s="519"/>
      <c r="BO96" s="520">
        <v>0</v>
      </c>
      <c r="BP96" s="521"/>
      <c r="BQ96" s="53"/>
      <c r="BR96" s="518"/>
      <c r="BS96" s="519"/>
      <c r="BT96" s="520">
        <f>SUM(L96:BO96)</f>
        <v>0</v>
      </c>
      <c r="BU96" s="521"/>
      <c r="BV96" s="53"/>
      <c r="BW96" s="465"/>
      <c r="BZ96" s="410"/>
      <c r="CA96" s="410"/>
    </row>
    <row r="97" spans="1:79" ht="12.75" hidden="1" customHeight="1" x14ac:dyDescent="0.2">
      <c r="A97" s="377"/>
      <c r="B97" s="377"/>
      <c r="D97" s="465" t="s">
        <v>380</v>
      </c>
      <c r="E97" s="518"/>
      <c r="F97" s="417"/>
      <c r="G97" s="53">
        <v>0</v>
      </c>
      <c r="H97" s="52"/>
      <c r="I97" s="53"/>
      <c r="J97" s="518"/>
      <c r="K97" s="518"/>
      <c r="L97" s="53">
        <v>0</v>
      </c>
      <c r="M97" s="52"/>
      <c r="N97" s="53"/>
      <c r="O97" s="518"/>
      <c r="P97" s="518"/>
      <c r="Q97" s="53">
        <v>0</v>
      </c>
      <c r="R97" s="52"/>
      <c r="S97" s="53"/>
      <c r="T97" s="518"/>
      <c r="U97" s="518"/>
      <c r="V97" s="53">
        <v>0</v>
      </c>
      <c r="W97" s="52"/>
      <c r="X97" s="53"/>
      <c r="Y97" s="518"/>
      <c r="Z97" s="518"/>
      <c r="AA97" s="53">
        <v>0</v>
      </c>
      <c r="AB97" s="52"/>
      <c r="AC97" s="53"/>
      <c r="AD97" s="518"/>
      <c r="AE97" s="518"/>
      <c r="AF97" s="53">
        <v>0</v>
      </c>
      <c r="AG97" s="52"/>
      <c r="AH97" s="53"/>
      <c r="AI97" s="518"/>
      <c r="AJ97" s="518"/>
      <c r="AK97" s="53">
        <v>0</v>
      </c>
      <c r="AL97" s="52"/>
      <c r="AM97" s="53"/>
      <c r="AN97" s="518"/>
      <c r="AO97" s="518"/>
      <c r="AP97" s="53">
        <v>0</v>
      </c>
      <c r="AQ97" s="52"/>
      <c r="AR97" s="53"/>
      <c r="AS97" s="518"/>
      <c r="AT97" s="518"/>
      <c r="AU97" s="53">
        <v>0</v>
      </c>
      <c r="AV97" s="52"/>
      <c r="AW97" s="53"/>
      <c r="AX97" s="518"/>
      <c r="AY97" s="518"/>
      <c r="AZ97" s="53">
        <v>0</v>
      </c>
      <c r="BA97" s="52"/>
      <c r="BB97" s="53"/>
      <c r="BC97" s="518"/>
      <c r="BD97" s="518"/>
      <c r="BE97" s="53">
        <v>0</v>
      </c>
      <c r="BF97" s="52"/>
      <c r="BG97" s="53"/>
      <c r="BH97" s="518"/>
      <c r="BI97" s="518"/>
      <c r="BJ97" s="53">
        <v>0</v>
      </c>
      <c r="BK97" s="52"/>
      <c r="BL97" s="53"/>
      <c r="BM97" s="518"/>
      <c r="BN97" s="518"/>
      <c r="BO97" s="53">
        <v>0</v>
      </c>
      <c r="BP97" s="52"/>
      <c r="BQ97" s="53"/>
      <c r="BR97" s="518"/>
      <c r="BS97" s="518"/>
      <c r="BT97" s="53">
        <f>SUM(L97:BO97)</f>
        <v>0</v>
      </c>
      <c r="BU97" s="52"/>
      <c r="BV97" s="53"/>
      <c r="BW97" s="465"/>
      <c r="BZ97" s="410"/>
      <c r="CA97" s="410"/>
    </row>
    <row r="98" spans="1:79" ht="12.75" hidden="1" customHeight="1" x14ac:dyDescent="0.2">
      <c r="A98" s="377"/>
      <c r="B98" s="377"/>
      <c r="D98" s="465" t="s">
        <v>388</v>
      </c>
      <c r="E98" s="518"/>
      <c r="F98" s="478"/>
      <c r="G98" s="102">
        <v>0</v>
      </c>
      <c r="H98" s="101"/>
      <c r="I98" s="53"/>
      <c r="J98" s="518"/>
      <c r="K98" s="522"/>
      <c r="L98" s="102">
        <v>0</v>
      </c>
      <c r="M98" s="101"/>
      <c r="N98" s="53"/>
      <c r="O98" s="518"/>
      <c r="P98" s="522"/>
      <c r="Q98" s="102">
        <v>0</v>
      </c>
      <c r="R98" s="101"/>
      <c r="S98" s="53"/>
      <c r="T98" s="518"/>
      <c r="U98" s="522"/>
      <c r="V98" s="102">
        <v>0</v>
      </c>
      <c r="W98" s="101"/>
      <c r="X98" s="53"/>
      <c r="Y98" s="518"/>
      <c r="Z98" s="522"/>
      <c r="AA98" s="102">
        <v>0</v>
      </c>
      <c r="AB98" s="101"/>
      <c r="AC98" s="53"/>
      <c r="AD98" s="518"/>
      <c r="AE98" s="522"/>
      <c r="AF98" s="102">
        <v>0</v>
      </c>
      <c r="AG98" s="101"/>
      <c r="AH98" s="53"/>
      <c r="AI98" s="518"/>
      <c r="AJ98" s="522"/>
      <c r="AK98" s="102">
        <v>0</v>
      </c>
      <c r="AL98" s="101"/>
      <c r="AM98" s="53"/>
      <c r="AN98" s="518"/>
      <c r="AO98" s="522"/>
      <c r="AP98" s="102">
        <v>0</v>
      </c>
      <c r="AQ98" s="101"/>
      <c r="AR98" s="53"/>
      <c r="AS98" s="518"/>
      <c r="AT98" s="522"/>
      <c r="AU98" s="102">
        <v>0</v>
      </c>
      <c r="AV98" s="101"/>
      <c r="AW98" s="53"/>
      <c r="AX98" s="518"/>
      <c r="AY98" s="522"/>
      <c r="AZ98" s="102">
        <v>0</v>
      </c>
      <c r="BA98" s="101"/>
      <c r="BB98" s="53"/>
      <c r="BC98" s="518"/>
      <c r="BD98" s="522"/>
      <c r="BE98" s="102">
        <v>0</v>
      </c>
      <c r="BF98" s="101"/>
      <c r="BG98" s="53"/>
      <c r="BH98" s="518"/>
      <c r="BI98" s="522"/>
      <c r="BJ98" s="102">
        <v>0</v>
      </c>
      <c r="BK98" s="101"/>
      <c r="BL98" s="53"/>
      <c r="BM98" s="518"/>
      <c r="BN98" s="522"/>
      <c r="BO98" s="102">
        <v>0</v>
      </c>
      <c r="BP98" s="101"/>
      <c r="BQ98" s="53"/>
      <c r="BR98" s="518"/>
      <c r="BS98" s="522"/>
      <c r="BT98" s="102">
        <f>SUM(L98:BO98)</f>
        <v>0</v>
      </c>
      <c r="BU98" s="101"/>
      <c r="BV98" s="53"/>
      <c r="BW98" s="465"/>
      <c r="BZ98" s="410"/>
      <c r="CA98" s="410"/>
    </row>
    <row r="99" spans="1:79" ht="12.75" hidden="1" customHeight="1" x14ac:dyDescent="0.2">
      <c r="A99" s="377"/>
      <c r="B99" s="377"/>
      <c r="D99" s="465"/>
      <c r="E99" s="518"/>
      <c r="F99" s="377"/>
      <c r="G99" s="53"/>
      <c r="H99" s="53"/>
      <c r="I99" s="53"/>
      <c r="J99" s="518"/>
      <c r="K99" s="53"/>
      <c r="L99" s="53"/>
      <c r="M99" s="53"/>
      <c r="N99" s="53"/>
      <c r="O99" s="518"/>
      <c r="P99" s="53"/>
      <c r="Q99" s="53"/>
      <c r="R99" s="53"/>
      <c r="S99" s="53"/>
      <c r="T99" s="518"/>
      <c r="U99" s="53"/>
      <c r="V99" s="53"/>
      <c r="W99" s="53"/>
      <c r="X99" s="53"/>
      <c r="Y99" s="518"/>
      <c r="Z99" s="53"/>
      <c r="AA99" s="53"/>
      <c r="AB99" s="53"/>
      <c r="AC99" s="53"/>
      <c r="AD99" s="518"/>
      <c r="AE99" s="53"/>
      <c r="AF99" s="53"/>
      <c r="AG99" s="53"/>
      <c r="AH99" s="53"/>
      <c r="AI99" s="518"/>
      <c r="AJ99" s="53"/>
      <c r="AK99" s="53"/>
      <c r="AL99" s="53"/>
      <c r="AM99" s="53"/>
      <c r="AN99" s="518"/>
      <c r="AO99" s="53"/>
      <c r="AP99" s="53"/>
      <c r="AQ99" s="53"/>
      <c r="AR99" s="53"/>
      <c r="AS99" s="518"/>
      <c r="AT99" s="53"/>
      <c r="AU99" s="53"/>
      <c r="AV99" s="53"/>
      <c r="AW99" s="53"/>
      <c r="AX99" s="518"/>
      <c r="AY99" s="53"/>
      <c r="AZ99" s="53"/>
      <c r="BA99" s="53"/>
      <c r="BB99" s="53"/>
      <c r="BC99" s="518"/>
      <c r="BD99" s="53"/>
      <c r="BE99" s="53"/>
      <c r="BF99" s="53"/>
      <c r="BG99" s="53"/>
      <c r="BH99" s="518"/>
      <c r="BI99" s="53"/>
      <c r="BJ99" s="53"/>
      <c r="BK99" s="53"/>
      <c r="BL99" s="53"/>
      <c r="BM99" s="518"/>
      <c r="BN99" s="53"/>
      <c r="BO99" s="53"/>
      <c r="BP99" s="53"/>
      <c r="BQ99" s="53"/>
      <c r="BR99" s="518"/>
      <c r="BS99" s="53"/>
      <c r="BT99" s="53"/>
      <c r="BU99" s="53"/>
      <c r="BV99" s="53"/>
      <c r="BW99" s="465"/>
      <c r="BZ99" s="410"/>
      <c r="CA99" s="410"/>
    </row>
    <row r="100" spans="1:79" ht="12.75" hidden="1" customHeight="1" x14ac:dyDescent="0.2">
      <c r="A100" s="377"/>
      <c r="B100" s="377"/>
      <c r="D100" s="465" t="s">
        <v>396</v>
      </c>
      <c r="E100" s="518"/>
      <c r="F100" s="377"/>
      <c r="G100" s="53">
        <f>SUM(G101:G103)</f>
        <v>0</v>
      </c>
      <c r="H100" s="53"/>
      <c r="I100" s="53"/>
      <c r="J100" s="518"/>
      <c r="K100" s="53"/>
      <c r="L100" s="53">
        <f>SUM(L101:L103)</f>
        <v>0</v>
      </c>
      <c r="M100" s="53"/>
      <c r="N100" s="53"/>
      <c r="O100" s="518"/>
      <c r="P100" s="53"/>
      <c r="Q100" s="53">
        <f>SUM(Q101:Q103)</f>
        <v>0</v>
      </c>
      <c r="R100" s="53"/>
      <c r="S100" s="53"/>
      <c r="T100" s="518"/>
      <c r="U100" s="53"/>
      <c r="V100" s="53">
        <f>SUM(V101:V103)</f>
        <v>0</v>
      </c>
      <c r="W100" s="53"/>
      <c r="X100" s="53"/>
      <c r="Y100" s="518"/>
      <c r="Z100" s="53"/>
      <c r="AA100" s="53">
        <f>SUM(AA101:AA103)</f>
        <v>0</v>
      </c>
      <c r="AB100" s="53"/>
      <c r="AC100" s="53"/>
      <c r="AD100" s="518"/>
      <c r="AE100" s="53"/>
      <c r="AF100" s="53">
        <f>SUM(AF101:AF103)</f>
        <v>0</v>
      </c>
      <c r="AG100" s="53"/>
      <c r="AH100" s="53"/>
      <c r="AI100" s="518"/>
      <c r="AJ100" s="53"/>
      <c r="AK100" s="53">
        <f>SUM(AK101:AK103)</f>
        <v>0</v>
      </c>
      <c r="AL100" s="53"/>
      <c r="AM100" s="53"/>
      <c r="AN100" s="518"/>
      <c r="AO100" s="53"/>
      <c r="AP100" s="53">
        <f>SUM(AP101:AP103)</f>
        <v>0</v>
      </c>
      <c r="AQ100" s="53"/>
      <c r="AR100" s="53"/>
      <c r="AS100" s="518"/>
      <c r="AT100" s="53"/>
      <c r="AU100" s="53">
        <f>SUM(AU101:AU103)</f>
        <v>0</v>
      </c>
      <c r="AV100" s="53"/>
      <c r="AW100" s="53"/>
      <c r="AX100" s="518"/>
      <c r="AY100" s="53"/>
      <c r="AZ100" s="53">
        <f>SUM(AZ101:AZ103)</f>
        <v>0</v>
      </c>
      <c r="BA100" s="53"/>
      <c r="BB100" s="53"/>
      <c r="BC100" s="518"/>
      <c r="BD100" s="53"/>
      <c r="BE100" s="53">
        <f>SUM(BE101:BE103)</f>
        <v>0</v>
      </c>
      <c r="BF100" s="53"/>
      <c r="BG100" s="53"/>
      <c r="BH100" s="518"/>
      <c r="BI100" s="53"/>
      <c r="BJ100" s="53">
        <f>SUM(BJ101:BJ103)</f>
        <v>0</v>
      </c>
      <c r="BK100" s="53"/>
      <c r="BL100" s="53"/>
      <c r="BM100" s="518"/>
      <c r="BN100" s="53"/>
      <c r="BO100" s="53">
        <f>SUM(BO101:BO103)</f>
        <v>0</v>
      </c>
      <c r="BP100" s="53"/>
      <c r="BQ100" s="53"/>
      <c r="BR100" s="518"/>
      <c r="BS100" s="53"/>
      <c r="BT100" s="53">
        <f>SUM(BT101:BT103)</f>
        <v>0</v>
      </c>
      <c r="BU100" s="53"/>
      <c r="BV100" s="53"/>
      <c r="BW100" s="465"/>
      <c r="BZ100" s="410"/>
      <c r="CA100" s="410"/>
    </row>
    <row r="101" spans="1:79" ht="12.75" hidden="1" customHeight="1" x14ac:dyDescent="0.2">
      <c r="A101" s="377"/>
      <c r="B101" s="377"/>
      <c r="D101" s="465" t="s">
        <v>378</v>
      </c>
      <c r="E101" s="518"/>
      <c r="F101" s="469"/>
      <c r="G101" s="520">
        <v>0</v>
      </c>
      <c r="H101" s="521"/>
      <c r="I101" s="53"/>
      <c r="J101" s="518"/>
      <c r="K101" s="519"/>
      <c r="L101" s="520">
        <v>0</v>
      </c>
      <c r="M101" s="521"/>
      <c r="N101" s="53"/>
      <c r="O101" s="518"/>
      <c r="P101" s="519"/>
      <c r="Q101" s="520">
        <v>0</v>
      </c>
      <c r="R101" s="521"/>
      <c r="S101" s="53"/>
      <c r="T101" s="518"/>
      <c r="U101" s="519"/>
      <c r="V101" s="520">
        <v>0</v>
      </c>
      <c r="W101" s="521"/>
      <c r="X101" s="53"/>
      <c r="Y101" s="518"/>
      <c r="Z101" s="519"/>
      <c r="AA101" s="520">
        <v>0</v>
      </c>
      <c r="AB101" s="521"/>
      <c r="AC101" s="53"/>
      <c r="AD101" s="518"/>
      <c r="AE101" s="519"/>
      <c r="AF101" s="520">
        <v>0</v>
      </c>
      <c r="AG101" s="521"/>
      <c r="AH101" s="53"/>
      <c r="AI101" s="518"/>
      <c r="AJ101" s="519"/>
      <c r="AK101" s="520">
        <v>0</v>
      </c>
      <c r="AL101" s="521"/>
      <c r="AM101" s="53"/>
      <c r="AN101" s="518"/>
      <c r="AO101" s="519"/>
      <c r="AP101" s="520">
        <v>0</v>
      </c>
      <c r="AQ101" s="521"/>
      <c r="AR101" s="53"/>
      <c r="AS101" s="518"/>
      <c r="AT101" s="519"/>
      <c r="AU101" s="520">
        <v>0</v>
      </c>
      <c r="AV101" s="521"/>
      <c r="AW101" s="53"/>
      <c r="AX101" s="518"/>
      <c r="AY101" s="519"/>
      <c r="AZ101" s="520">
        <v>0</v>
      </c>
      <c r="BA101" s="521"/>
      <c r="BB101" s="53"/>
      <c r="BC101" s="518"/>
      <c r="BD101" s="519"/>
      <c r="BE101" s="520">
        <v>0</v>
      </c>
      <c r="BF101" s="521"/>
      <c r="BG101" s="53"/>
      <c r="BH101" s="518"/>
      <c r="BI101" s="519"/>
      <c r="BJ101" s="520">
        <v>0</v>
      </c>
      <c r="BK101" s="521"/>
      <c r="BL101" s="53"/>
      <c r="BM101" s="518"/>
      <c r="BN101" s="519"/>
      <c r="BO101" s="520">
        <v>0</v>
      </c>
      <c r="BP101" s="521"/>
      <c r="BQ101" s="53"/>
      <c r="BR101" s="518"/>
      <c r="BS101" s="519"/>
      <c r="BT101" s="520">
        <f>SUM(L101:BO101)</f>
        <v>0</v>
      </c>
      <c r="BU101" s="521"/>
      <c r="BV101" s="53"/>
      <c r="BW101" s="465"/>
      <c r="BZ101" s="410"/>
      <c r="CA101" s="410"/>
    </row>
    <row r="102" spans="1:79" ht="12.75" hidden="1" customHeight="1" x14ac:dyDescent="0.2">
      <c r="A102" s="377"/>
      <c r="B102" s="377"/>
      <c r="D102" s="465" t="s">
        <v>380</v>
      </c>
      <c r="E102" s="518"/>
      <c r="F102" s="417"/>
      <c r="G102" s="53">
        <v>0</v>
      </c>
      <c r="H102" s="52"/>
      <c r="I102" s="53"/>
      <c r="J102" s="518"/>
      <c r="K102" s="518"/>
      <c r="L102" s="53">
        <v>0</v>
      </c>
      <c r="M102" s="52"/>
      <c r="N102" s="53"/>
      <c r="O102" s="518"/>
      <c r="P102" s="518"/>
      <c r="Q102" s="53">
        <v>0</v>
      </c>
      <c r="R102" s="52"/>
      <c r="S102" s="53"/>
      <c r="T102" s="518"/>
      <c r="U102" s="518"/>
      <c r="V102" s="53">
        <v>0</v>
      </c>
      <c r="W102" s="52"/>
      <c r="X102" s="53"/>
      <c r="Y102" s="518"/>
      <c r="Z102" s="518"/>
      <c r="AA102" s="53">
        <v>0</v>
      </c>
      <c r="AB102" s="52"/>
      <c r="AC102" s="53"/>
      <c r="AD102" s="518"/>
      <c r="AE102" s="518"/>
      <c r="AF102" s="53">
        <v>0</v>
      </c>
      <c r="AG102" s="52"/>
      <c r="AH102" s="53"/>
      <c r="AI102" s="518"/>
      <c r="AJ102" s="518"/>
      <c r="AK102" s="53">
        <v>0</v>
      </c>
      <c r="AL102" s="52"/>
      <c r="AM102" s="53"/>
      <c r="AN102" s="518"/>
      <c r="AO102" s="518"/>
      <c r="AP102" s="53">
        <v>0</v>
      </c>
      <c r="AQ102" s="52"/>
      <c r="AR102" s="53"/>
      <c r="AS102" s="518"/>
      <c r="AT102" s="518"/>
      <c r="AU102" s="53">
        <v>0</v>
      </c>
      <c r="AV102" s="52"/>
      <c r="AW102" s="53"/>
      <c r="AX102" s="518"/>
      <c r="AY102" s="518"/>
      <c r="AZ102" s="53">
        <v>0</v>
      </c>
      <c r="BA102" s="52"/>
      <c r="BB102" s="53"/>
      <c r="BC102" s="518"/>
      <c r="BD102" s="518"/>
      <c r="BE102" s="53">
        <v>0</v>
      </c>
      <c r="BF102" s="52"/>
      <c r="BG102" s="53"/>
      <c r="BH102" s="518"/>
      <c r="BI102" s="518"/>
      <c r="BJ102" s="53">
        <v>0</v>
      </c>
      <c r="BK102" s="52"/>
      <c r="BL102" s="53"/>
      <c r="BM102" s="518"/>
      <c r="BN102" s="518"/>
      <c r="BO102" s="53">
        <v>0</v>
      </c>
      <c r="BP102" s="52"/>
      <c r="BQ102" s="53"/>
      <c r="BR102" s="518"/>
      <c r="BS102" s="518"/>
      <c r="BT102" s="53">
        <f>SUM(L102:BO102)</f>
        <v>0</v>
      </c>
      <c r="BU102" s="52"/>
      <c r="BV102" s="53"/>
      <c r="BW102" s="465"/>
      <c r="BZ102" s="410"/>
      <c r="CA102" s="410"/>
    </row>
    <row r="103" spans="1:79" ht="12.75" hidden="1" customHeight="1" x14ac:dyDescent="0.2">
      <c r="A103" s="377"/>
      <c r="B103" s="377"/>
      <c r="D103" s="465" t="s">
        <v>388</v>
      </c>
      <c r="E103" s="518"/>
      <c r="F103" s="478"/>
      <c r="G103" s="102">
        <v>0</v>
      </c>
      <c r="H103" s="101"/>
      <c r="I103" s="53"/>
      <c r="J103" s="518"/>
      <c r="K103" s="522"/>
      <c r="L103" s="102">
        <v>0</v>
      </c>
      <c r="M103" s="101"/>
      <c r="N103" s="53"/>
      <c r="O103" s="518"/>
      <c r="P103" s="522"/>
      <c r="Q103" s="102">
        <v>0</v>
      </c>
      <c r="R103" s="101"/>
      <c r="S103" s="53"/>
      <c r="T103" s="518"/>
      <c r="U103" s="522"/>
      <c r="V103" s="102">
        <v>0</v>
      </c>
      <c r="W103" s="101"/>
      <c r="X103" s="53"/>
      <c r="Y103" s="518"/>
      <c r="Z103" s="522"/>
      <c r="AA103" s="102">
        <v>0</v>
      </c>
      <c r="AB103" s="101"/>
      <c r="AC103" s="53"/>
      <c r="AD103" s="518"/>
      <c r="AE103" s="522"/>
      <c r="AF103" s="102">
        <v>0</v>
      </c>
      <c r="AG103" s="101"/>
      <c r="AH103" s="53"/>
      <c r="AI103" s="518"/>
      <c r="AJ103" s="522"/>
      <c r="AK103" s="102">
        <v>0</v>
      </c>
      <c r="AL103" s="101"/>
      <c r="AM103" s="53"/>
      <c r="AN103" s="518"/>
      <c r="AO103" s="522"/>
      <c r="AP103" s="102">
        <v>0</v>
      </c>
      <c r="AQ103" s="101"/>
      <c r="AR103" s="53"/>
      <c r="AS103" s="518"/>
      <c r="AT103" s="522"/>
      <c r="AU103" s="102">
        <v>0</v>
      </c>
      <c r="AV103" s="101"/>
      <c r="AW103" s="53"/>
      <c r="AX103" s="518"/>
      <c r="AY103" s="522"/>
      <c r="AZ103" s="102">
        <v>0</v>
      </c>
      <c r="BA103" s="101"/>
      <c r="BB103" s="53"/>
      <c r="BC103" s="518"/>
      <c r="BD103" s="522"/>
      <c r="BE103" s="102">
        <v>0</v>
      </c>
      <c r="BF103" s="101"/>
      <c r="BG103" s="53"/>
      <c r="BH103" s="518"/>
      <c r="BI103" s="522"/>
      <c r="BJ103" s="102">
        <v>0</v>
      </c>
      <c r="BK103" s="101"/>
      <c r="BL103" s="53"/>
      <c r="BM103" s="518"/>
      <c r="BN103" s="522"/>
      <c r="BO103" s="102">
        <v>0</v>
      </c>
      <c r="BP103" s="101"/>
      <c r="BQ103" s="53"/>
      <c r="BR103" s="518"/>
      <c r="BS103" s="522"/>
      <c r="BT103" s="102">
        <f>SUM(L103:BO103)</f>
        <v>0</v>
      </c>
      <c r="BU103" s="101"/>
      <c r="BV103" s="53"/>
      <c r="BW103" s="465"/>
      <c r="BZ103" s="410"/>
      <c r="CA103" s="410"/>
    </row>
    <row r="104" spans="1:79" ht="12.75" hidden="1" customHeight="1" x14ac:dyDescent="0.2">
      <c r="A104" s="377"/>
      <c r="B104" s="377"/>
      <c r="D104" s="465"/>
      <c r="E104" s="518"/>
      <c r="F104" s="377"/>
      <c r="G104" s="53"/>
      <c r="H104" s="53"/>
      <c r="I104" s="53"/>
      <c r="J104" s="518"/>
      <c r="K104" s="53"/>
      <c r="L104" s="53"/>
      <c r="M104" s="53"/>
      <c r="N104" s="53"/>
      <c r="O104" s="518"/>
      <c r="P104" s="53"/>
      <c r="Q104" s="53"/>
      <c r="R104" s="53"/>
      <c r="S104" s="53"/>
      <c r="T104" s="518"/>
      <c r="U104" s="53"/>
      <c r="V104" s="53"/>
      <c r="W104" s="53"/>
      <c r="X104" s="53"/>
      <c r="Y104" s="518"/>
      <c r="Z104" s="53"/>
      <c r="AA104" s="53"/>
      <c r="AB104" s="53"/>
      <c r="AC104" s="53"/>
      <c r="AD104" s="518"/>
      <c r="AE104" s="53"/>
      <c r="AF104" s="53"/>
      <c r="AG104" s="53"/>
      <c r="AH104" s="53"/>
      <c r="AI104" s="518"/>
      <c r="AJ104" s="53"/>
      <c r="AK104" s="53"/>
      <c r="AL104" s="53"/>
      <c r="AM104" s="53"/>
      <c r="AN104" s="518"/>
      <c r="AO104" s="53"/>
      <c r="AP104" s="53"/>
      <c r="AQ104" s="53"/>
      <c r="AR104" s="53"/>
      <c r="AS104" s="518"/>
      <c r="AT104" s="53"/>
      <c r="AU104" s="53"/>
      <c r="AV104" s="53"/>
      <c r="AW104" s="53"/>
      <c r="AX104" s="518"/>
      <c r="AY104" s="53"/>
      <c r="AZ104" s="53"/>
      <c r="BA104" s="53"/>
      <c r="BB104" s="53"/>
      <c r="BC104" s="518"/>
      <c r="BD104" s="53"/>
      <c r="BE104" s="53"/>
      <c r="BF104" s="53"/>
      <c r="BG104" s="53"/>
      <c r="BH104" s="518"/>
      <c r="BI104" s="53"/>
      <c r="BJ104" s="53"/>
      <c r="BK104" s="53"/>
      <c r="BL104" s="53"/>
      <c r="BM104" s="518"/>
      <c r="BN104" s="53"/>
      <c r="BO104" s="53"/>
      <c r="BP104" s="53"/>
      <c r="BQ104" s="53"/>
      <c r="BR104" s="518"/>
      <c r="BS104" s="102"/>
      <c r="BT104" s="53"/>
      <c r="BU104" s="53"/>
      <c r="BV104" s="53"/>
      <c r="BW104" s="465"/>
      <c r="BZ104" s="410"/>
      <c r="CA104" s="410"/>
    </row>
    <row r="105" spans="1:79" ht="12.75" hidden="1" customHeight="1" x14ac:dyDescent="0.2">
      <c r="A105" s="377"/>
      <c r="B105" s="377"/>
      <c r="D105" s="465" t="s">
        <v>397</v>
      </c>
      <c r="E105" s="518"/>
      <c r="F105" s="377"/>
      <c r="G105" s="53">
        <f>SUM(G106:G108)</f>
        <v>0</v>
      </c>
      <c r="H105" s="53"/>
      <c r="I105" s="53"/>
      <c r="J105" s="518"/>
      <c r="K105" s="53"/>
      <c r="L105" s="53">
        <f>SUM(L106:L108)</f>
        <v>0</v>
      </c>
      <c r="M105" s="53"/>
      <c r="N105" s="53"/>
      <c r="O105" s="518"/>
      <c r="P105" s="53"/>
      <c r="Q105" s="53">
        <f>SUM(Q106:Q108)</f>
        <v>0</v>
      </c>
      <c r="R105" s="53"/>
      <c r="S105" s="53"/>
      <c r="T105" s="518"/>
      <c r="U105" s="53"/>
      <c r="V105" s="53">
        <f>SUM(V106:V108)</f>
        <v>0</v>
      </c>
      <c r="W105" s="53"/>
      <c r="X105" s="53"/>
      <c r="Y105" s="518"/>
      <c r="Z105" s="53"/>
      <c r="AA105" s="53">
        <f>SUM(AA106:AA108)</f>
        <v>0</v>
      </c>
      <c r="AB105" s="53"/>
      <c r="AC105" s="53"/>
      <c r="AD105" s="518"/>
      <c r="AE105" s="53"/>
      <c r="AF105" s="53">
        <f>SUM(AF106:AF108)</f>
        <v>0</v>
      </c>
      <c r="AG105" s="53"/>
      <c r="AH105" s="53"/>
      <c r="AI105" s="518"/>
      <c r="AJ105" s="53"/>
      <c r="AK105" s="53">
        <f>SUM(AK106:AK108)</f>
        <v>0</v>
      </c>
      <c r="AL105" s="53"/>
      <c r="AM105" s="53"/>
      <c r="AN105" s="518"/>
      <c r="AO105" s="53"/>
      <c r="AP105" s="53">
        <f>SUM(AP106:AP108)</f>
        <v>0</v>
      </c>
      <c r="AQ105" s="53"/>
      <c r="AR105" s="53"/>
      <c r="AS105" s="518"/>
      <c r="AT105" s="53"/>
      <c r="AU105" s="53">
        <f>SUM(AU106:AU108)</f>
        <v>0</v>
      </c>
      <c r="AV105" s="53"/>
      <c r="AW105" s="53"/>
      <c r="AX105" s="518"/>
      <c r="AY105" s="53"/>
      <c r="AZ105" s="53">
        <f>SUM(AZ106:AZ108)</f>
        <v>0</v>
      </c>
      <c r="BA105" s="53"/>
      <c r="BB105" s="53"/>
      <c r="BC105" s="518"/>
      <c r="BD105" s="53"/>
      <c r="BE105" s="53">
        <f>SUM(BE106:BE108)</f>
        <v>0</v>
      </c>
      <c r="BF105" s="53"/>
      <c r="BG105" s="53"/>
      <c r="BH105" s="518"/>
      <c r="BI105" s="53"/>
      <c r="BJ105" s="53">
        <f>SUM(BJ106:BJ108)</f>
        <v>0</v>
      </c>
      <c r="BK105" s="53"/>
      <c r="BL105" s="53"/>
      <c r="BM105" s="518"/>
      <c r="BN105" s="53"/>
      <c r="BO105" s="53">
        <f>SUM(BO106:BO108)</f>
        <v>0</v>
      </c>
      <c r="BP105" s="53"/>
      <c r="BQ105" s="53"/>
      <c r="BR105" s="518"/>
      <c r="BS105" s="102"/>
      <c r="BT105" s="102">
        <f>SUM(BT106:BT108)</f>
        <v>0</v>
      </c>
      <c r="BU105" s="53"/>
      <c r="BV105" s="53"/>
      <c r="BW105" s="465"/>
      <c r="BZ105" s="410"/>
      <c r="CA105" s="410"/>
    </row>
    <row r="106" spans="1:79" ht="12.75" hidden="1" customHeight="1" x14ac:dyDescent="0.2">
      <c r="A106" s="377"/>
      <c r="B106" s="377"/>
      <c r="D106" s="465" t="s">
        <v>378</v>
      </c>
      <c r="E106" s="518"/>
      <c r="F106" s="469"/>
      <c r="G106" s="520">
        <v>0</v>
      </c>
      <c r="H106" s="521"/>
      <c r="I106" s="53"/>
      <c r="J106" s="518"/>
      <c r="K106" s="519"/>
      <c r="L106" s="520">
        <v>0</v>
      </c>
      <c r="M106" s="521"/>
      <c r="N106" s="53"/>
      <c r="O106" s="518"/>
      <c r="P106" s="519"/>
      <c r="Q106" s="520">
        <v>0</v>
      </c>
      <c r="R106" s="521"/>
      <c r="S106" s="53"/>
      <c r="T106" s="518"/>
      <c r="U106" s="519"/>
      <c r="V106" s="520">
        <v>0</v>
      </c>
      <c r="W106" s="521"/>
      <c r="X106" s="53"/>
      <c r="Y106" s="518"/>
      <c r="Z106" s="519"/>
      <c r="AA106" s="520">
        <v>0</v>
      </c>
      <c r="AB106" s="521"/>
      <c r="AC106" s="53"/>
      <c r="AD106" s="518"/>
      <c r="AE106" s="519"/>
      <c r="AF106" s="520">
        <v>0</v>
      </c>
      <c r="AG106" s="521"/>
      <c r="AH106" s="53"/>
      <c r="AI106" s="518"/>
      <c r="AJ106" s="519"/>
      <c r="AK106" s="520">
        <v>0</v>
      </c>
      <c r="AL106" s="521"/>
      <c r="AM106" s="53"/>
      <c r="AN106" s="518"/>
      <c r="AO106" s="519"/>
      <c r="AP106" s="520">
        <v>0</v>
      </c>
      <c r="AQ106" s="521"/>
      <c r="AR106" s="53"/>
      <c r="AS106" s="518"/>
      <c r="AT106" s="519"/>
      <c r="AU106" s="520">
        <v>0</v>
      </c>
      <c r="AV106" s="521"/>
      <c r="AW106" s="53"/>
      <c r="AX106" s="518"/>
      <c r="AY106" s="519"/>
      <c r="AZ106" s="520">
        <v>0</v>
      </c>
      <c r="BA106" s="521"/>
      <c r="BB106" s="53"/>
      <c r="BC106" s="518"/>
      <c r="BD106" s="519"/>
      <c r="BE106" s="520">
        <v>0</v>
      </c>
      <c r="BF106" s="521"/>
      <c r="BG106" s="53"/>
      <c r="BH106" s="518"/>
      <c r="BI106" s="519"/>
      <c r="BJ106" s="520">
        <v>0</v>
      </c>
      <c r="BK106" s="521"/>
      <c r="BL106" s="53"/>
      <c r="BM106" s="518"/>
      <c r="BN106" s="519"/>
      <c r="BO106" s="520">
        <v>0</v>
      </c>
      <c r="BP106" s="521"/>
      <c r="BQ106" s="53"/>
      <c r="BR106" s="518"/>
      <c r="BS106" s="518"/>
      <c r="BT106" s="53">
        <f>SUM(L106:BO106)</f>
        <v>0</v>
      </c>
      <c r="BU106" s="521"/>
      <c r="BV106" s="53"/>
      <c r="BW106" s="465"/>
      <c r="BZ106" s="410"/>
      <c r="CA106" s="410"/>
    </row>
    <row r="107" spans="1:79" ht="12.75" hidden="1" customHeight="1" x14ac:dyDescent="0.2">
      <c r="A107" s="377"/>
      <c r="B107" s="377"/>
      <c r="D107" s="465" t="s">
        <v>380</v>
      </c>
      <c r="E107" s="518"/>
      <c r="F107" s="417"/>
      <c r="G107" s="53">
        <v>0</v>
      </c>
      <c r="H107" s="52"/>
      <c r="I107" s="53"/>
      <c r="J107" s="518"/>
      <c r="K107" s="518"/>
      <c r="L107" s="53">
        <v>0</v>
      </c>
      <c r="M107" s="52"/>
      <c r="N107" s="53"/>
      <c r="O107" s="518"/>
      <c r="P107" s="518"/>
      <c r="Q107" s="53">
        <v>0</v>
      </c>
      <c r="R107" s="52"/>
      <c r="S107" s="53"/>
      <c r="T107" s="518"/>
      <c r="U107" s="518"/>
      <c r="V107" s="53">
        <v>0</v>
      </c>
      <c r="W107" s="52"/>
      <c r="X107" s="53"/>
      <c r="Y107" s="518"/>
      <c r="Z107" s="518"/>
      <c r="AA107" s="53">
        <v>0</v>
      </c>
      <c r="AB107" s="52"/>
      <c r="AC107" s="53"/>
      <c r="AD107" s="518"/>
      <c r="AE107" s="518"/>
      <c r="AF107" s="53">
        <v>0</v>
      </c>
      <c r="AG107" s="52"/>
      <c r="AH107" s="53"/>
      <c r="AI107" s="518"/>
      <c r="AJ107" s="518"/>
      <c r="AK107" s="53">
        <v>0</v>
      </c>
      <c r="AL107" s="52"/>
      <c r="AM107" s="53"/>
      <c r="AN107" s="518"/>
      <c r="AO107" s="518"/>
      <c r="AP107" s="53">
        <v>0</v>
      </c>
      <c r="AQ107" s="52"/>
      <c r="AR107" s="53"/>
      <c r="AS107" s="518"/>
      <c r="AT107" s="518"/>
      <c r="AU107" s="53">
        <v>0</v>
      </c>
      <c r="AV107" s="52"/>
      <c r="AW107" s="53"/>
      <c r="AX107" s="518"/>
      <c r="AY107" s="518"/>
      <c r="AZ107" s="53">
        <v>0</v>
      </c>
      <c r="BA107" s="52"/>
      <c r="BB107" s="53"/>
      <c r="BC107" s="518"/>
      <c r="BD107" s="518"/>
      <c r="BE107" s="53">
        <v>0</v>
      </c>
      <c r="BF107" s="52"/>
      <c r="BG107" s="53"/>
      <c r="BH107" s="518"/>
      <c r="BI107" s="518"/>
      <c r="BJ107" s="53">
        <v>0</v>
      </c>
      <c r="BK107" s="52"/>
      <c r="BL107" s="53"/>
      <c r="BM107" s="518"/>
      <c r="BN107" s="518"/>
      <c r="BO107" s="53">
        <v>0</v>
      </c>
      <c r="BP107" s="52"/>
      <c r="BQ107" s="53"/>
      <c r="BR107" s="518"/>
      <c r="BS107" s="518"/>
      <c r="BT107" s="53">
        <f>SUM(L107:BO107)</f>
        <v>0</v>
      </c>
      <c r="BU107" s="52"/>
      <c r="BV107" s="53"/>
      <c r="BW107" s="465"/>
      <c r="BZ107" s="410"/>
      <c r="CA107" s="410"/>
    </row>
    <row r="108" spans="1:79" ht="12.75" hidden="1" customHeight="1" x14ac:dyDescent="0.2">
      <c r="A108" s="377"/>
      <c r="B108" s="377"/>
      <c r="D108" s="465" t="s">
        <v>388</v>
      </c>
      <c r="E108" s="518"/>
      <c r="F108" s="478"/>
      <c r="G108" s="102">
        <v>0</v>
      </c>
      <c r="H108" s="101"/>
      <c r="I108" s="53"/>
      <c r="J108" s="518"/>
      <c r="K108" s="522"/>
      <c r="L108" s="102">
        <v>0</v>
      </c>
      <c r="M108" s="101"/>
      <c r="N108" s="53"/>
      <c r="O108" s="518"/>
      <c r="P108" s="522"/>
      <c r="Q108" s="102">
        <v>0</v>
      </c>
      <c r="R108" s="101"/>
      <c r="S108" s="53"/>
      <c r="T108" s="518"/>
      <c r="U108" s="522"/>
      <c r="V108" s="102">
        <v>0</v>
      </c>
      <c r="W108" s="101"/>
      <c r="X108" s="53"/>
      <c r="Y108" s="518"/>
      <c r="Z108" s="522"/>
      <c r="AA108" s="102">
        <v>0</v>
      </c>
      <c r="AB108" s="101"/>
      <c r="AC108" s="53"/>
      <c r="AD108" s="518"/>
      <c r="AE108" s="522"/>
      <c r="AF108" s="102">
        <v>0</v>
      </c>
      <c r="AG108" s="101"/>
      <c r="AH108" s="53"/>
      <c r="AI108" s="518"/>
      <c r="AJ108" s="522"/>
      <c r="AK108" s="102">
        <v>0</v>
      </c>
      <c r="AL108" s="101"/>
      <c r="AM108" s="53"/>
      <c r="AN108" s="518"/>
      <c r="AO108" s="522"/>
      <c r="AP108" s="102">
        <v>0</v>
      </c>
      <c r="AQ108" s="101"/>
      <c r="AR108" s="53"/>
      <c r="AS108" s="518"/>
      <c r="AT108" s="522"/>
      <c r="AU108" s="102">
        <v>0</v>
      </c>
      <c r="AV108" s="101"/>
      <c r="AW108" s="53"/>
      <c r="AX108" s="518"/>
      <c r="AY108" s="522"/>
      <c r="AZ108" s="102">
        <v>0</v>
      </c>
      <c r="BA108" s="101"/>
      <c r="BB108" s="53"/>
      <c r="BC108" s="518"/>
      <c r="BD108" s="522"/>
      <c r="BE108" s="102">
        <v>0</v>
      </c>
      <c r="BF108" s="101"/>
      <c r="BG108" s="53"/>
      <c r="BH108" s="518"/>
      <c r="BI108" s="522"/>
      <c r="BJ108" s="102">
        <v>0</v>
      </c>
      <c r="BK108" s="101"/>
      <c r="BL108" s="53"/>
      <c r="BM108" s="518"/>
      <c r="BN108" s="522"/>
      <c r="BO108" s="102">
        <v>0</v>
      </c>
      <c r="BP108" s="101"/>
      <c r="BQ108" s="53"/>
      <c r="BR108" s="518"/>
      <c r="BS108" s="522"/>
      <c r="BT108" s="102">
        <f>SUM(L108:BO108)</f>
        <v>0</v>
      </c>
      <c r="BU108" s="101"/>
      <c r="BV108" s="53"/>
      <c r="BW108" s="465"/>
      <c r="BZ108" s="410"/>
      <c r="CA108" s="410"/>
    </row>
    <row r="109" spans="1:79" ht="12.75" hidden="1" customHeight="1" x14ac:dyDescent="0.2">
      <c r="A109" s="377"/>
      <c r="B109" s="377"/>
      <c r="D109" s="465"/>
      <c r="E109" s="518"/>
      <c r="F109" s="377"/>
      <c r="G109" s="53"/>
      <c r="H109" s="53"/>
      <c r="I109" s="53"/>
      <c r="J109" s="518"/>
      <c r="K109" s="53"/>
      <c r="L109" s="53"/>
      <c r="M109" s="53"/>
      <c r="N109" s="53"/>
      <c r="O109" s="518"/>
      <c r="P109" s="53"/>
      <c r="Q109" s="53"/>
      <c r="R109" s="53"/>
      <c r="S109" s="53"/>
      <c r="T109" s="518"/>
      <c r="U109" s="53"/>
      <c r="V109" s="53"/>
      <c r="W109" s="53"/>
      <c r="X109" s="53"/>
      <c r="Y109" s="518"/>
      <c r="Z109" s="53"/>
      <c r="AA109" s="53"/>
      <c r="AB109" s="53"/>
      <c r="AC109" s="53"/>
      <c r="AD109" s="518"/>
      <c r="AE109" s="53"/>
      <c r="AF109" s="53"/>
      <c r="AG109" s="53"/>
      <c r="AH109" s="53"/>
      <c r="AI109" s="518"/>
      <c r="AJ109" s="53"/>
      <c r="AK109" s="53"/>
      <c r="AL109" s="53"/>
      <c r="AM109" s="53"/>
      <c r="AN109" s="518"/>
      <c r="AO109" s="53"/>
      <c r="AP109" s="53"/>
      <c r="AQ109" s="53"/>
      <c r="AR109" s="53"/>
      <c r="AS109" s="518"/>
      <c r="AT109" s="53"/>
      <c r="AU109" s="53"/>
      <c r="AV109" s="53"/>
      <c r="AW109" s="53"/>
      <c r="AX109" s="518"/>
      <c r="AY109" s="53"/>
      <c r="AZ109" s="53"/>
      <c r="BA109" s="53"/>
      <c r="BB109" s="53"/>
      <c r="BC109" s="518"/>
      <c r="BD109" s="53"/>
      <c r="BE109" s="53"/>
      <c r="BF109" s="53"/>
      <c r="BG109" s="53"/>
      <c r="BH109" s="518"/>
      <c r="BI109" s="53"/>
      <c r="BJ109" s="53"/>
      <c r="BK109" s="53"/>
      <c r="BL109" s="53"/>
      <c r="BM109" s="518"/>
      <c r="BN109" s="53"/>
      <c r="BO109" s="53"/>
      <c r="BP109" s="53"/>
      <c r="BQ109" s="53"/>
      <c r="BR109" s="518"/>
      <c r="BS109" s="53"/>
      <c r="BT109" s="53"/>
      <c r="BU109" s="53"/>
      <c r="BV109" s="53"/>
      <c r="BW109" s="465"/>
      <c r="BZ109" s="410"/>
      <c r="CA109" s="410"/>
    </row>
    <row r="110" spans="1:79" ht="12.75" hidden="1" customHeight="1" x14ac:dyDescent="0.2">
      <c r="A110" s="377"/>
      <c r="B110" s="377"/>
      <c r="D110" s="465" t="s">
        <v>398</v>
      </c>
      <c r="E110" s="518"/>
      <c r="F110" s="377"/>
      <c r="G110" s="53">
        <f>SUM(G111:G113)</f>
        <v>0</v>
      </c>
      <c r="H110" s="53"/>
      <c r="I110" s="53"/>
      <c r="J110" s="518"/>
      <c r="K110" s="53"/>
      <c r="L110" s="53">
        <f>SUM(L111:L113)</f>
        <v>0</v>
      </c>
      <c r="M110" s="53"/>
      <c r="N110" s="53"/>
      <c r="O110" s="518"/>
      <c r="P110" s="53"/>
      <c r="Q110" s="53">
        <f>SUM(Q111:Q113)</f>
        <v>0</v>
      </c>
      <c r="R110" s="53"/>
      <c r="S110" s="53"/>
      <c r="T110" s="518"/>
      <c r="U110" s="53"/>
      <c r="V110" s="53">
        <f>SUM(V111:V113)</f>
        <v>0</v>
      </c>
      <c r="W110" s="53"/>
      <c r="X110" s="53"/>
      <c r="Y110" s="518"/>
      <c r="Z110" s="53"/>
      <c r="AA110" s="53">
        <f>SUM(AA111:AA113)</f>
        <v>0</v>
      </c>
      <c r="AB110" s="53"/>
      <c r="AC110" s="53"/>
      <c r="AD110" s="518"/>
      <c r="AE110" s="53"/>
      <c r="AF110" s="53">
        <f>SUM(AF111:AF113)</f>
        <v>0</v>
      </c>
      <c r="AG110" s="53"/>
      <c r="AH110" s="53"/>
      <c r="AI110" s="518"/>
      <c r="AJ110" s="53"/>
      <c r="AK110" s="53">
        <f>SUM(AK111:AK113)</f>
        <v>0</v>
      </c>
      <c r="AL110" s="53"/>
      <c r="AM110" s="53"/>
      <c r="AN110" s="518"/>
      <c r="AO110" s="53"/>
      <c r="AP110" s="53">
        <f>SUM(AP111:AP113)</f>
        <v>0</v>
      </c>
      <c r="AQ110" s="53"/>
      <c r="AR110" s="53"/>
      <c r="AS110" s="518"/>
      <c r="AT110" s="53"/>
      <c r="AU110" s="53">
        <f>SUM(AU111:AU113)</f>
        <v>0</v>
      </c>
      <c r="AV110" s="53"/>
      <c r="AW110" s="53"/>
      <c r="AX110" s="518"/>
      <c r="AY110" s="53"/>
      <c r="AZ110" s="53">
        <f>SUM(AZ111:AZ113)</f>
        <v>0</v>
      </c>
      <c r="BA110" s="53"/>
      <c r="BB110" s="53"/>
      <c r="BC110" s="518"/>
      <c r="BD110" s="53"/>
      <c r="BE110" s="53">
        <f>SUM(BE111:BE113)</f>
        <v>0</v>
      </c>
      <c r="BF110" s="53"/>
      <c r="BG110" s="53"/>
      <c r="BH110" s="518"/>
      <c r="BI110" s="53"/>
      <c r="BJ110" s="53">
        <f>SUM(BJ111:BJ113)</f>
        <v>0</v>
      </c>
      <c r="BK110" s="53"/>
      <c r="BL110" s="53"/>
      <c r="BM110" s="518"/>
      <c r="BN110" s="53"/>
      <c r="BO110" s="53">
        <f>SUM(BO111:BO113)</f>
        <v>0</v>
      </c>
      <c r="BP110" s="53"/>
      <c r="BQ110" s="53"/>
      <c r="BR110" s="518"/>
      <c r="BS110" s="53"/>
      <c r="BT110" s="53">
        <f>SUM(BT111:BT113)</f>
        <v>0</v>
      </c>
      <c r="BU110" s="53"/>
      <c r="BV110" s="53"/>
      <c r="BW110" s="465"/>
      <c r="BZ110" s="410"/>
      <c r="CA110" s="410"/>
    </row>
    <row r="111" spans="1:79" ht="12.75" hidden="1" customHeight="1" x14ac:dyDescent="0.2">
      <c r="A111" s="377"/>
      <c r="B111" s="377"/>
      <c r="D111" s="465" t="s">
        <v>378</v>
      </c>
      <c r="E111" s="518"/>
      <c r="F111" s="469"/>
      <c r="G111" s="520">
        <v>0</v>
      </c>
      <c r="H111" s="521"/>
      <c r="I111" s="53"/>
      <c r="J111" s="518"/>
      <c r="K111" s="519"/>
      <c r="L111" s="520">
        <v>0</v>
      </c>
      <c r="M111" s="521"/>
      <c r="N111" s="53"/>
      <c r="O111" s="518"/>
      <c r="P111" s="519"/>
      <c r="Q111" s="520">
        <v>0</v>
      </c>
      <c r="R111" s="521"/>
      <c r="S111" s="53"/>
      <c r="T111" s="518"/>
      <c r="U111" s="519"/>
      <c r="V111" s="520">
        <v>0</v>
      </c>
      <c r="W111" s="521"/>
      <c r="X111" s="53"/>
      <c r="Y111" s="518"/>
      <c r="Z111" s="519"/>
      <c r="AA111" s="520">
        <v>0</v>
      </c>
      <c r="AB111" s="521"/>
      <c r="AC111" s="53"/>
      <c r="AD111" s="518"/>
      <c r="AE111" s="519"/>
      <c r="AF111" s="520">
        <v>0</v>
      </c>
      <c r="AG111" s="521"/>
      <c r="AH111" s="53"/>
      <c r="AI111" s="518"/>
      <c r="AJ111" s="519"/>
      <c r="AK111" s="520">
        <v>0</v>
      </c>
      <c r="AL111" s="521"/>
      <c r="AM111" s="53"/>
      <c r="AN111" s="518"/>
      <c r="AO111" s="519"/>
      <c r="AP111" s="520">
        <v>0</v>
      </c>
      <c r="AQ111" s="521"/>
      <c r="AR111" s="53"/>
      <c r="AS111" s="518"/>
      <c r="AT111" s="519"/>
      <c r="AU111" s="520">
        <v>0</v>
      </c>
      <c r="AV111" s="521"/>
      <c r="AW111" s="53"/>
      <c r="AX111" s="518"/>
      <c r="AY111" s="519"/>
      <c r="AZ111" s="520">
        <v>0</v>
      </c>
      <c r="BA111" s="521"/>
      <c r="BB111" s="53"/>
      <c r="BC111" s="518"/>
      <c r="BD111" s="519"/>
      <c r="BE111" s="520">
        <v>0</v>
      </c>
      <c r="BF111" s="521"/>
      <c r="BG111" s="53"/>
      <c r="BH111" s="518"/>
      <c r="BI111" s="519"/>
      <c r="BJ111" s="520">
        <v>0</v>
      </c>
      <c r="BK111" s="521"/>
      <c r="BL111" s="53"/>
      <c r="BM111" s="518"/>
      <c r="BN111" s="519"/>
      <c r="BO111" s="520">
        <v>0</v>
      </c>
      <c r="BP111" s="521"/>
      <c r="BQ111" s="53"/>
      <c r="BR111" s="518"/>
      <c r="BS111" s="519"/>
      <c r="BT111" s="520">
        <f>SUM(L111:BO111)</f>
        <v>0</v>
      </c>
      <c r="BU111" s="521"/>
      <c r="BV111" s="53"/>
      <c r="BW111" s="465"/>
      <c r="BZ111" s="410"/>
      <c r="CA111" s="410"/>
    </row>
    <row r="112" spans="1:79" ht="12.75" hidden="1" customHeight="1" x14ac:dyDescent="0.2">
      <c r="A112" s="377"/>
      <c r="B112" s="377"/>
      <c r="D112" s="465" t="s">
        <v>380</v>
      </c>
      <c r="E112" s="518"/>
      <c r="F112" s="417"/>
      <c r="G112" s="53">
        <v>0</v>
      </c>
      <c r="H112" s="52"/>
      <c r="I112" s="53"/>
      <c r="J112" s="518"/>
      <c r="K112" s="518"/>
      <c r="L112" s="53">
        <v>0</v>
      </c>
      <c r="M112" s="52"/>
      <c r="N112" s="53"/>
      <c r="O112" s="518"/>
      <c r="P112" s="518"/>
      <c r="Q112" s="53">
        <v>0</v>
      </c>
      <c r="R112" s="52"/>
      <c r="S112" s="53"/>
      <c r="T112" s="518"/>
      <c r="U112" s="518"/>
      <c r="V112" s="53">
        <v>0</v>
      </c>
      <c r="W112" s="52"/>
      <c r="X112" s="53"/>
      <c r="Y112" s="518"/>
      <c r="Z112" s="518"/>
      <c r="AA112" s="53">
        <v>0</v>
      </c>
      <c r="AB112" s="52"/>
      <c r="AC112" s="53"/>
      <c r="AD112" s="518"/>
      <c r="AE112" s="518"/>
      <c r="AF112" s="53">
        <v>0</v>
      </c>
      <c r="AG112" s="52"/>
      <c r="AH112" s="53"/>
      <c r="AI112" s="518"/>
      <c r="AJ112" s="518"/>
      <c r="AK112" s="53">
        <v>0</v>
      </c>
      <c r="AL112" s="52"/>
      <c r="AM112" s="53"/>
      <c r="AN112" s="518"/>
      <c r="AO112" s="518"/>
      <c r="AP112" s="53">
        <v>0</v>
      </c>
      <c r="AQ112" s="52"/>
      <c r="AR112" s="53"/>
      <c r="AS112" s="518"/>
      <c r="AT112" s="518"/>
      <c r="AU112" s="53">
        <v>0</v>
      </c>
      <c r="AV112" s="52"/>
      <c r="AW112" s="53"/>
      <c r="AX112" s="518"/>
      <c r="AY112" s="518"/>
      <c r="AZ112" s="53">
        <v>0</v>
      </c>
      <c r="BA112" s="52"/>
      <c r="BB112" s="53"/>
      <c r="BC112" s="518"/>
      <c r="BD112" s="518"/>
      <c r="BE112" s="53">
        <v>0</v>
      </c>
      <c r="BF112" s="52"/>
      <c r="BG112" s="53"/>
      <c r="BH112" s="518"/>
      <c r="BI112" s="518"/>
      <c r="BJ112" s="53">
        <v>0</v>
      </c>
      <c r="BK112" s="52"/>
      <c r="BL112" s="53"/>
      <c r="BM112" s="518"/>
      <c r="BN112" s="518"/>
      <c r="BO112" s="53">
        <v>0</v>
      </c>
      <c r="BP112" s="52"/>
      <c r="BQ112" s="53"/>
      <c r="BR112" s="518"/>
      <c r="BS112" s="518"/>
      <c r="BT112" s="53">
        <f>SUM(L112:BO112)</f>
        <v>0</v>
      </c>
      <c r="BU112" s="52"/>
      <c r="BV112" s="53"/>
      <c r="BW112" s="465"/>
      <c r="BZ112" s="410"/>
      <c r="CA112" s="410"/>
    </row>
    <row r="113" spans="1:79" ht="12.75" hidden="1" customHeight="1" x14ac:dyDescent="0.2">
      <c r="A113" s="377"/>
      <c r="B113" s="377"/>
      <c r="D113" s="465" t="s">
        <v>388</v>
      </c>
      <c r="E113" s="518"/>
      <c r="F113" s="478"/>
      <c r="G113" s="102">
        <v>0</v>
      </c>
      <c r="H113" s="101"/>
      <c r="I113" s="53"/>
      <c r="J113" s="518"/>
      <c r="K113" s="522"/>
      <c r="L113" s="102">
        <v>0</v>
      </c>
      <c r="M113" s="101"/>
      <c r="N113" s="53"/>
      <c r="O113" s="518"/>
      <c r="P113" s="522"/>
      <c r="Q113" s="102">
        <v>0</v>
      </c>
      <c r="R113" s="101"/>
      <c r="S113" s="53"/>
      <c r="T113" s="518"/>
      <c r="U113" s="522"/>
      <c r="V113" s="102">
        <v>0</v>
      </c>
      <c r="W113" s="101"/>
      <c r="X113" s="53"/>
      <c r="Y113" s="518"/>
      <c r="Z113" s="522"/>
      <c r="AA113" s="102">
        <v>0</v>
      </c>
      <c r="AB113" s="101"/>
      <c r="AC113" s="53"/>
      <c r="AD113" s="518"/>
      <c r="AE113" s="522"/>
      <c r="AF113" s="102">
        <v>0</v>
      </c>
      <c r="AG113" s="101"/>
      <c r="AH113" s="53"/>
      <c r="AI113" s="518"/>
      <c r="AJ113" s="522"/>
      <c r="AK113" s="102">
        <v>0</v>
      </c>
      <c r="AL113" s="101"/>
      <c r="AM113" s="53"/>
      <c r="AN113" s="518"/>
      <c r="AO113" s="522"/>
      <c r="AP113" s="102">
        <v>0</v>
      </c>
      <c r="AQ113" s="101"/>
      <c r="AR113" s="53"/>
      <c r="AS113" s="518"/>
      <c r="AT113" s="522"/>
      <c r="AU113" s="102">
        <v>0</v>
      </c>
      <c r="AV113" s="101"/>
      <c r="AW113" s="53"/>
      <c r="AX113" s="518"/>
      <c r="AY113" s="522"/>
      <c r="AZ113" s="102">
        <v>0</v>
      </c>
      <c r="BA113" s="101"/>
      <c r="BB113" s="53"/>
      <c r="BC113" s="518"/>
      <c r="BD113" s="522"/>
      <c r="BE113" s="102">
        <v>0</v>
      </c>
      <c r="BF113" s="101"/>
      <c r="BG113" s="53"/>
      <c r="BH113" s="518"/>
      <c r="BI113" s="522"/>
      <c r="BJ113" s="102">
        <v>0</v>
      </c>
      <c r="BK113" s="101"/>
      <c r="BL113" s="53"/>
      <c r="BM113" s="518"/>
      <c r="BN113" s="522"/>
      <c r="BO113" s="102">
        <v>0</v>
      </c>
      <c r="BP113" s="101"/>
      <c r="BQ113" s="53"/>
      <c r="BR113" s="518"/>
      <c r="BS113" s="522"/>
      <c r="BT113" s="102">
        <f>SUM(L113:BO113)</f>
        <v>0</v>
      </c>
      <c r="BU113" s="101"/>
      <c r="BV113" s="53"/>
      <c r="BW113" s="465"/>
      <c r="BZ113" s="410"/>
      <c r="CA113" s="410"/>
    </row>
    <row r="114" spans="1:79" ht="12.75" hidden="1" customHeight="1" x14ac:dyDescent="0.2">
      <c r="A114" s="377"/>
      <c r="B114" s="377"/>
      <c r="D114" s="465"/>
      <c r="E114" s="518"/>
      <c r="F114" s="377"/>
      <c r="G114" s="53"/>
      <c r="H114" s="53"/>
      <c r="I114" s="53"/>
      <c r="J114" s="518"/>
      <c r="K114" s="53"/>
      <c r="L114" s="53"/>
      <c r="M114" s="53"/>
      <c r="N114" s="53"/>
      <c r="O114" s="518"/>
      <c r="P114" s="53"/>
      <c r="Q114" s="53"/>
      <c r="R114" s="53"/>
      <c r="S114" s="53"/>
      <c r="T114" s="518"/>
      <c r="U114" s="53"/>
      <c r="V114" s="53"/>
      <c r="W114" s="53"/>
      <c r="X114" s="53"/>
      <c r="Y114" s="518"/>
      <c r="Z114" s="53"/>
      <c r="AA114" s="53"/>
      <c r="AB114" s="53"/>
      <c r="AC114" s="53"/>
      <c r="AD114" s="518"/>
      <c r="AE114" s="53"/>
      <c r="AF114" s="53"/>
      <c r="AG114" s="53"/>
      <c r="AH114" s="53"/>
      <c r="AI114" s="518"/>
      <c r="AJ114" s="53"/>
      <c r="AK114" s="53"/>
      <c r="AL114" s="53"/>
      <c r="AM114" s="53"/>
      <c r="AN114" s="518"/>
      <c r="AO114" s="53"/>
      <c r="AP114" s="53"/>
      <c r="AQ114" s="53"/>
      <c r="AR114" s="53"/>
      <c r="AS114" s="518"/>
      <c r="AT114" s="53"/>
      <c r="AU114" s="53"/>
      <c r="AV114" s="53"/>
      <c r="AW114" s="53"/>
      <c r="AX114" s="518"/>
      <c r="AY114" s="53"/>
      <c r="AZ114" s="53"/>
      <c r="BA114" s="53"/>
      <c r="BB114" s="53"/>
      <c r="BC114" s="518"/>
      <c r="BD114" s="53"/>
      <c r="BE114" s="53"/>
      <c r="BF114" s="53"/>
      <c r="BG114" s="53"/>
      <c r="BH114" s="518"/>
      <c r="BI114" s="53"/>
      <c r="BJ114" s="53"/>
      <c r="BK114" s="53"/>
      <c r="BL114" s="53"/>
      <c r="BM114" s="518"/>
      <c r="BN114" s="53"/>
      <c r="BO114" s="53"/>
      <c r="BP114" s="53"/>
      <c r="BQ114" s="53"/>
      <c r="BR114" s="518"/>
      <c r="BS114" s="53"/>
      <c r="BT114" s="53"/>
      <c r="BU114" s="53"/>
      <c r="BV114" s="53"/>
      <c r="BW114" s="465"/>
      <c r="BZ114" s="410"/>
      <c r="CA114" s="410"/>
    </row>
    <row r="115" spans="1:79" ht="12.75" hidden="1" customHeight="1" x14ac:dyDescent="0.2">
      <c r="A115" s="377"/>
      <c r="B115" s="377"/>
      <c r="D115" s="465" t="s">
        <v>399</v>
      </c>
      <c r="E115" s="518"/>
      <c r="F115" s="377"/>
      <c r="G115" s="53">
        <f>SUM(G116:G118)</f>
        <v>0</v>
      </c>
      <c r="H115" s="53"/>
      <c r="I115" s="53"/>
      <c r="J115" s="518"/>
      <c r="K115" s="53"/>
      <c r="L115" s="53">
        <f>SUM(L116:L118)</f>
        <v>0</v>
      </c>
      <c r="M115" s="53"/>
      <c r="N115" s="53"/>
      <c r="O115" s="518"/>
      <c r="P115" s="53"/>
      <c r="Q115" s="53">
        <f>SUM(Q116:Q118)</f>
        <v>0</v>
      </c>
      <c r="R115" s="53"/>
      <c r="S115" s="53"/>
      <c r="T115" s="518"/>
      <c r="U115" s="53"/>
      <c r="V115" s="53">
        <f>SUM(V116:V118)</f>
        <v>0</v>
      </c>
      <c r="W115" s="53"/>
      <c r="X115" s="53"/>
      <c r="Y115" s="518"/>
      <c r="Z115" s="53"/>
      <c r="AA115" s="53">
        <f>SUM(AA116:AA118)</f>
        <v>0</v>
      </c>
      <c r="AB115" s="53"/>
      <c r="AC115" s="53"/>
      <c r="AD115" s="518"/>
      <c r="AE115" s="53"/>
      <c r="AF115" s="53">
        <f>SUM(AF116:AF118)</f>
        <v>0</v>
      </c>
      <c r="AG115" s="53"/>
      <c r="AH115" s="53"/>
      <c r="AI115" s="518"/>
      <c r="AJ115" s="53"/>
      <c r="AK115" s="53">
        <f>SUM(AK116:AK118)</f>
        <v>0</v>
      </c>
      <c r="AL115" s="53"/>
      <c r="AM115" s="53"/>
      <c r="AN115" s="518"/>
      <c r="AO115" s="53"/>
      <c r="AP115" s="53">
        <f>SUM(AP116:AP118)</f>
        <v>0</v>
      </c>
      <c r="AQ115" s="53"/>
      <c r="AR115" s="53"/>
      <c r="AS115" s="518"/>
      <c r="AT115" s="53"/>
      <c r="AU115" s="53">
        <f>SUM(AU116:AU118)</f>
        <v>0</v>
      </c>
      <c r="AV115" s="53"/>
      <c r="AW115" s="53"/>
      <c r="AX115" s="518"/>
      <c r="AY115" s="53"/>
      <c r="AZ115" s="53">
        <f>SUM(AZ116:AZ118)</f>
        <v>0</v>
      </c>
      <c r="BA115" s="53"/>
      <c r="BB115" s="53"/>
      <c r="BC115" s="518"/>
      <c r="BD115" s="53"/>
      <c r="BE115" s="53">
        <f>SUM(BE116:BE118)</f>
        <v>0</v>
      </c>
      <c r="BF115" s="53"/>
      <c r="BG115" s="53"/>
      <c r="BH115" s="518"/>
      <c r="BI115" s="53"/>
      <c r="BJ115" s="53">
        <f>SUM(BJ116:BJ118)</f>
        <v>0</v>
      </c>
      <c r="BK115" s="53"/>
      <c r="BL115" s="53"/>
      <c r="BM115" s="518"/>
      <c r="BN115" s="53"/>
      <c r="BO115" s="53">
        <f>SUM(BO116:BO118)</f>
        <v>0</v>
      </c>
      <c r="BP115" s="53"/>
      <c r="BQ115" s="53"/>
      <c r="BR115" s="518"/>
      <c r="BS115" s="53"/>
      <c r="BT115" s="53">
        <f>SUM(BT116:BT118)</f>
        <v>0</v>
      </c>
      <c r="BU115" s="53"/>
      <c r="BV115" s="53"/>
      <c r="BW115" s="465"/>
      <c r="BZ115" s="410"/>
      <c r="CA115" s="410"/>
    </row>
    <row r="116" spans="1:79" ht="12.75" hidden="1" customHeight="1" x14ac:dyDescent="0.2">
      <c r="A116" s="377"/>
      <c r="B116" s="377"/>
      <c r="D116" s="465" t="s">
        <v>378</v>
      </c>
      <c r="E116" s="518"/>
      <c r="F116" s="469"/>
      <c r="G116" s="520">
        <v>0</v>
      </c>
      <c r="H116" s="521"/>
      <c r="I116" s="53"/>
      <c r="J116" s="518"/>
      <c r="K116" s="519"/>
      <c r="L116" s="520">
        <v>0</v>
      </c>
      <c r="M116" s="521"/>
      <c r="N116" s="53"/>
      <c r="O116" s="518"/>
      <c r="P116" s="519"/>
      <c r="Q116" s="520">
        <v>0</v>
      </c>
      <c r="R116" s="521"/>
      <c r="S116" s="53"/>
      <c r="T116" s="518"/>
      <c r="U116" s="519"/>
      <c r="V116" s="520">
        <v>0</v>
      </c>
      <c r="W116" s="521"/>
      <c r="X116" s="53"/>
      <c r="Y116" s="518"/>
      <c r="Z116" s="519"/>
      <c r="AA116" s="520">
        <v>0</v>
      </c>
      <c r="AB116" s="521"/>
      <c r="AC116" s="53"/>
      <c r="AD116" s="518"/>
      <c r="AE116" s="519"/>
      <c r="AF116" s="520">
        <v>0</v>
      </c>
      <c r="AG116" s="521"/>
      <c r="AH116" s="53"/>
      <c r="AI116" s="518"/>
      <c r="AJ116" s="519"/>
      <c r="AK116" s="520">
        <v>0</v>
      </c>
      <c r="AL116" s="521"/>
      <c r="AM116" s="53"/>
      <c r="AN116" s="518"/>
      <c r="AO116" s="519"/>
      <c r="AP116" s="520">
        <v>0</v>
      </c>
      <c r="AQ116" s="521"/>
      <c r="AR116" s="53"/>
      <c r="AS116" s="518"/>
      <c r="AT116" s="519"/>
      <c r="AU116" s="520">
        <v>0</v>
      </c>
      <c r="AV116" s="521"/>
      <c r="AW116" s="53"/>
      <c r="AX116" s="518"/>
      <c r="AY116" s="519"/>
      <c r="AZ116" s="520">
        <v>0</v>
      </c>
      <c r="BA116" s="521"/>
      <c r="BB116" s="53"/>
      <c r="BC116" s="518"/>
      <c r="BD116" s="519"/>
      <c r="BE116" s="520">
        <v>0</v>
      </c>
      <c r="BF116" s="521"/>
      <c r="BG116" s="53"/>
      <c r="BH116" s="518"/>
      <c r="BI116" s="519"/>
      <c r="BJ116" s="520">
        <v>0</v>
      </c>
      <c r="BK116" s="521"/>
      <c r="BL116" s="53"/>
      <c r="BM116" s="518"/>
      <c r="BN116" s="519"/>
      <c r="BO116" s="520">
        <v>0</v>
      </c>
      <c r="BP116" s="521"/>
      <c r="BQ116" s="53"/>
      <c r="BR116" s="518"/>
      <c r="BS116" s="519"/>
      <c r="BT116" s="520">
        <f>SUM(L116:BO116)</f>
        <v>0</v>
      </c>
      <c r="BU116" s="521"/>
      <c r="BV116" s="53"/>
      <c r="BW116" s="465"/>
      <c r="BZ116" s="410"/>
      <c r="CA116" s="410"/>
    </row>
    <row r="117" spans="1:79" ht="12.75" hidden="1" customHeight="1" x14ac:dyDescent="0.2">
      <c r="A117" s="377"/>
      <c r="B117" s="377"/>
      <c r="D117" s="465" t="s">
        <v>380</v>
      </c>
      <c r="E117" s="518"/>
      <c r="F117" s="417"/>
      <c r="G117" s="53">
        <v>0</v>
      </c>
      <c r="H117" s="52"/>
      <c r="I117" s="53"/>
      <c r="J117" s="518"/>
      <c r="K117" s="518"/>
      <c r="L117" s="53">
        <v>0</v>
      </c>
      <c r="M117" s="52"/>
      <c r="N117" s="53"/>
      <c r="O117" s="518"/>
      <c r="P117" s="518"/>
      <c r="Q117" s="53">
        <v>0</v>
      </c>
      <c r="R117" s="52"/>
      <c r="S117" s="53"/>
      <c r="T117" s="518"/>
      <c r="U117" s="518"/>
      <c r="V117" s="53">
        <v>0</v>
      </c>
      <c r="W117" s="52"/>
      <c r="X117" s="53"/>
      <c r="Y117" s="518"/>
      <c r="Z117" s="518"/>
      <c r="AA117" s="53">
        <v>0</v>
      </c>
      <c r="AB117" s="52"/>
      <c r="AC117" s="53"/>
      <c r="AD117" s="518"/>
      <c r="AE117" s="518"/>
      <c r="AF117" s="53">
        <v>0</v>
      </c>
      <c r="AG117" s="52"/>
      <c r="AH117" s="53"/>
      <c r="AI117" s="518"/>
      <c r="AJ117" s="518"/>
      <c r="AK117" s="53">
        <v>0</v>
      </c>
      <c r="AL117" s="52"/>
      <c r="AM117" s="53"/>
      <c r="AN117" s="518"/>
      <c r="AO117" s="518"/>
      <c r="AP117" s="53">
        <v>0</v>
      </c>
      <c r="AQ117" s="52"/>
      <c r="AR117" s="53"/>
      <c r="AS117" s="518"/>
      <c r="AT117" s="518"/>
      <c r="AU117" s="53">
        <v>0</v>
      </c>
      <c r="AV117" s="52"/>
      <c r="AW117" s="53"/>
      <c r="AX117" s="518"/>
      <c r="AY117" s="518"/>
      <c r="AZ117" s="53">
        <v>0</v>
      </c>
      <c r="BA117" s="52"/>
      <c r="BB117" s="53"/>
      <c r="BC117" s="518"/>
      <c r="BD117" s="518"/>
      <c r="BE117" s="53">
        <v>0</v>
      </c>
      <c r="BF117" s="52"/>
      <c r="BG117" s="53"/>
      <c r="BH117" s="518"/>
      <c r="BI117" s="518"/>
      <c r="BJ117" s="53">
        <v>0</v>
      </c>
      <c r="BK117" s="52"/>
      <c r="BL117" s="53"/>
      <c r="BM117" s="518"/>
      <c r="BN117" s="518"/>
      <c r="BO117" s="53">
        <v>0</v>
      </c>
      <c r="BP117" s="52"/>
      <c r="BQ117" s="53"/>
      <c r="BR117" s="518"/>
      <c r="BS117" s="518"/>
      <c r="BT117" s="53">
        <f>SUM(L117:BO117)</f>
        <v>0</v>
      </c>
      <c r="BU117" s="52"/>
      <c r="BV117" s="53"/>
      <c r="BW117" s="465"/>
      <c r="BZ117" s="410"/>
      <c r="CA117" s="410"/>
    </row>
    <row r="118" spans="1:79" ht="12.75" hidden="1" customHeight="1" x14ac:dyDescent="0.2">
      <c r="A118" s="377"/>
      <c r="B118" s="377"/>
      <c r="D118" s="465" t="s">
        <v>388</v>
      </c>
      <c r="E118" s="518"/>
      <c r="F118" s="478"/>
      <c r="G118" s="102">
        <v>0</v>
      </c>
      <c r="H118" s="101"/>
      <c r="I118" s="53"/>
      <c r="J118" s="518"/>
      <c r="K118" s="522"/>
      <c r="L118" s="102">
        <v>0</v>
      </c>
      <c r="M118" s="101"/>
      <c r="N118" s="53"/>
      <c r="O118" s="518"/>
      <c r="P118" s="522"/>
      <c r="Q118" s="102">
        <v>0</v>
      </c>
      <c r="R118" s="101"/>
      <c r="S118" s="53"/>
      <c r="T118" s="518"/>
      <c r="U118" s="522"/>
      <c r="V118" s="102">
        <v>0</v>
      </c>
      <c r="W118" s="101"/>
      <c r="X118" s="53"/>
      <c r="Y118" s="518"/>
      <c r="Z118" s="522"/>
      <c r="AA118" s="102">
        <v>0</v>
      </c>
      <c r="AB118" s="101"/>
      <c r="AC118" s="53"/>
      <c r="AD118" s="518"/>
      <c r="AE118" s="522"/>
      <c r="AF118" s="102">
        <v>0</v>
      </c>
      <c r="AG118" s="101"/>
      <c r="AH118" s="53"/>
      <c r="AI118" s="518"/>
      <c r="AJ118" s="522"/>
      <c r="AK118" s="102">
        <v>0</v>
      </c>
      <c r="AL118" s="101"/>
      <c r="AM118" s="53"/>
      <c r="AN118" s="518"/>
      <c r="AO118" s="522"/>
      <c r="AP118" s="102">
        <v>0</v>
      </c>
      <c r="AQ118" s="101"/>
      <c r="AR118" s="53"/>
      <c r="AS118" s="518"/>
      <c r="AT118" s="522"/>
      <c r="AU118" s="102">
        <v>0</v>
      </c>
      <c r="AV118" s="101"/>
      <c r="AW118" s="53"/>
      <c r="AX118" s="518"/>
      <c r="AY118" s="522"/>
      <c r="AZ118" s="102">
        <v>0</v>
      </c>
      <c r="BA118" s="101"/>
      <c r="BB118" s="53"/>
      <c r="BC118" s="518"/>
      <c r="BD118" s="522"/>
      <c r="BE118" s="102">
        <v>0</v>
      </c>
      <c r="BF118" s="101"/>
      <c r="BG118" s="53"/>
      <c r="BH118" s="518"/>
      <c r="BI118" s="522"/>
      <c r="BJ118" s="102">
        <v>0</v>
      </c>
      <c r="BK118" s="101"/>
      <c r="BL118" s="53"/>
      <c r="BM118" s="518"/>
      <c r="BN118" s="522"/>
      <c r="BO118" s="102">
        <v>0</v>
      </c>
      <c r="BP118" s="101"/>
      <c r="BQ118" s="53"/>
      <c r="BR118" s="518"/>
      <c r="BS118" s="522"/>
      <c r="BT118" s="102">
        <f>SUM(L118:BO118)</f>
        <v>0</v>
      </c>
      <c r="BU118" s="101"/>
      <c r="BV118" s="53"/>
      <c r="BW118" s="465"/>
      <c r="BZ118" s="410"/>
      <c r="CA118" s="410"/>
    </row>
    <row r="119" spans="1:79" ht="12.75" hidden="1" customHeight="1" x14ac:dyDescent="0.2">
      <c r="A119" s="377"/>
      <c r="B119" s="377"/>
      <c r="D119" s="465"/>
      <c r="E119" s="518"/>
      <c r="F119" s="377"/>
      <c r="G119" s="53"/>
      <c r="H119" s="53"/>
      <c r="I119" s="53"/>
      <c r="J119" s="518"/>
      <c r="K119" s="53"/>
      <c r="L119" s="53"/>
      <c r="M119" s="53"/>
      <c r="N119" s="53"/>
      <c r="O119" s="518"/>
      <c r="P119" s="53"/>
      <c r="Q119" s="53"/>
      <c r="R119" s="53"/>
      <c r="S119" s="53"/>
      <c r="T119" s="518"/>
      <c r="U119" s="53"/>
      <c r="V119" s="53"/>
      <c r="W119" s="53"/>
      <c r="X119" s="53"/>
      <c r="Y119" s="518"/>
      <c r="Z119" s="53"/>
      <c r="AA119" s="53"/>
      <c r="AB119" s="53"/>
      <c r="AC119" s="53"/>
      <c r="AD119" s="518"/>
      <c r="AE119" s="53"/>
      <c r="AF119" s="53"/>
      <c r="AG119" s="53"/>
      <c r="AH119" s="53"/>
      <c r="AI119" s="518"/>
      <c r="AJ119" s="53"/>
      <c r="AK119" s="53"/>
      <c r="AL119" s="53"/>
      <c r="AM119" s="53"/>
      <c r="AN119" s="518"/>
      <c r="AO119" s="53"/>
      <c r="AP119" s="53"/>
      <c r="AQ119" s="53"/>
      <c r="AR119" s="53"/>
      <c r="AS119" s="518"/>
      <c r="AT119" s="53"/>
      <c r="AU119" s="53"/>
      <c r="AV119" s="53"/>
      <c r="AW119" s="53"/>
      <c r="AX119" s="518"/>
      <c r="AY119" s="53"/>
      <c r="AZ119" s="53"/>
      <c r="BA119" s="53"/>
      <c r="BB119" s="53"/>
      <c r="BC119" s="518"/>
      <c r="BD119" s="53"/>
      <c r="BE119" s="53"/>
      <c r="BF119" s="53"/>
      <c r="BG119" s="53"/>
      <c r="BH119" s="518"/>
      <c r="BI119" s="53"/>
      <c r="BJ119" s="53"/>
      <c r="BK119" s="53"/>
      <c r="BL119" s="53"/>
      <c r="BM119" s="518"/>
      <c r="BN119" s="53"/>
      <c r="BO119" s="53"/>
      <c r="BP119" s="53"/>
      <c r="BQ119" s="53"/>
      <c r="BR119" s="518"/>
      <c r="BS119" s="53"/>
      <c r="BT119" s="53"/>
      <c r="BU119" s="53"/>
      <c r="BV119" s="53"/>
      <c r="BW119" s="465"/>
      <c r="BZ119" s="410"/>
      <c r="CA119" s="410"/>
    </row>
    <row r="120" spans="1:79" x14ac:dyDescent="0.2">
      <c r="A120" s="377"/>
      <c r="B120" s="377"/>
      <c r="D120" s="465" t="s">
        <v>400</v>
      </c>
      <c r="E120" s="518"/>
      <c r="F120" s="377"/>
      <c r="G120" s="53">
        <f>SUM(G121:G123)</f>
        <v>0</v>
      </c>
      <c r="H120" s="53"/>
      <c r="I120" s="53"/>
      <c r="J120" s="518"/>
      <c r="K120" s="53"/>
      <c r="L120" s="53">
        <f>SUM(L121:L123)</f>
        <v>0</v>
      </c>
      <c r="M120" s="53"/>
      <c r="N120" s="53"/>
      <c r="O120" s="518"/>
      <c r="P120" s="53"/>
      <c r="Q120" s="53">
        <f>SUM(Q121:Q123)</f>
        <v>0</v>
      </c>
      <c r="R120" s="53"/>
      <c r="S120" s="53"/>
      <c r="T120" s="518"/>
      <c r="U120" s="53"/>
      <c r="V120" s="53">
        <f>SUM(V121:V123)</f>
        <v>0</v>
      </c>
      <c r="W120" s="53"/>
      <c r="X120" s="53"/>
      <c r="Y120" s="518"/>
      <c r="Z120" s="53"/>
      <c r="AA120" s="53">
        <f>SUM(AA121:AA123)</f>
        <v>0</v>
      </c>
      <c r="AB120" s="53"/>
      <c r="AC120" s="53"/>
      <c r="AD120" s="518"/>
      <c r="AE120" s="53"/>
      <c r="AF120" s="53">
        <f>SUM(AF121:AF123)</f>
        <v>0</v>
      </c>
      <c r="AG120" s="53"/>
      <c r="AH120" s="53"/>
      <c r="AI120" s="518"/>
      <c r="AJ120" s="53"/>
      <c r="AK120" s="53">
        <f>SUM(AK121:AK123)</f>
        <v>6601000</v>
      </c>
      <c r="AL120" s="53"/>
      <c r="AM120" s="53"/>
      <c r="AN120" s="518"/>
      <c r="AO120" s="53"/>
      <c r="AP120" s="53">
        <f>SUM(AP121:AP123)</f>
        <v>0</v>
      </c>
      <c r="AQ120" s="53"/>
      <c r="AR120" s="53"/>
      <c r="AS120" s="518"/>
      <c r="AT120" s="53"/>
      <c r="AU120" s="53">
        <f>SUM(AU121:AU123)</f>
        <v>0</v>
      </c>
      <c r="AV120" s="53"/>
      <c r="AW120" s="53"/>
      <c r="AX120" s="518"/>
      <c r="AY120" s="53"/>
      <c r="AZ120" s="53">
        <f>SUM(AZ121:AZ123)</f>
        <v>0</v>
      </c>
      <c r="BA120" s="53"/>
      <c r="BB120" s="53"/>
      <c r="BC120" s="518"/>
      <c r="BD120" s="53"/>
      <c r="BE120" s="53">
        <f>SUM(BE121:BE123)</f>
        <v>0</v>
      </c>
      <c r="BF120" s="53"/>
      <c r="BG120" s="53"/>
      <c r="BH120" s="518"/>
      <c r="BI120" s="53"/>
      <c r="BJ120" s="53">
        <f>SUM(BJ121:BJ123)</f>
        <v>0</v>
      </c>
      <c r="BK120" s="53"/>
      <c r="BL120" s="53"/>
      <c r="BM120" s="518"/>
      <c r="BN120" s="53"/>
      <c r="BO120" s="53">
        <f>SUM(BO121:BO123)</f>
        <v>0</v>
      </c>
      <c r="BP120" s="53"/>
      <c r="BQ120" s="53"/>
      <c r="BR120" s="518"/>
      <c r="BS120" s="53"/>
      <c r="BT120" s="53">
        <f>SUM(BT121:BT123)</f>
        <v>6601000</v>
      </c>
      <c r="BU120" s="53"/>
      <c r="BV120" s="53"/>
      <c r="BW120" s="465"/>
      <c r="BZ120" s="410"/>
      <c r="CA120" s="410"/>
    </row>
    <row r="121" spans="1:79" x14ac:dyDescent="0.2">
      <c r="A121" s="377"/>
      <c r="B121" s="377"/>
      <c r="D121" s="465" t="s">
        <v>378</v>
      </c>
      <c r="E121" s="518"/>
      <c r="F121" s="469"/>
      <c r="G121" s="520">
        <v>0</v>
      </c>
      <c r="H121" s="521"/>
      <c r="I121" s="53"/>
      <c r="J121" s="518"/>
      <c r="K121" s="519"/>
      <c r="L121" s="520">
        <v>0</v>
      </c>
      <c r="M121" s="521"/>
      <c r="N121" s="53"/>
      <c r="O121" s="518"/>
      <c r="P121" s="519"/>
      <c r="Q121" s="520">
        <v>0</v>
      </c>
      <c r="R121" s="521"/>
      <c r="S121" s="53"/>
      <c r="T121" s="518"/>
      <c r="U121" s="519"/>
      <c r="V121" s="520">
        <v>0</v>
      </c>
      <c r="W121" s="521"/>
      <c r="X121" s="53"/>
      <c r="Y121" s="518"/>
      <c r="Z121" s="519"/>
      <c r="AA121" s="520">
        <v>0</v>
      </c>
      <c r="AB121" s="521"/>
      <c r="AC121" s="53"/>
      <c r="AD121" s="518"/>
      <c r="AE121" s="519"/>
      <c r="AF121" s="520">
        <v>0</v>
      </c>
      <c r="AG121" s="521"/>
      <c r="AH121" s="53"/>
      <c r="AI121" s="518"/>
      <c r="AJ121" s="519"/>
      <c r="AK121" s="520">
        <f>6601000-1192748</f>
        <v>5408252</v>
      </c>
      <c r="AL121" s="521"/>
      <c r="AM121" s="53"/>
      <c r="AN121" s="518"/>
      <c r="AO121" s="519"/>
      <c r="AP121" s="520">
        <v>0</v>
      </c>
      <c r="AQ121" s="521"/>
      <c r="AR121" s="53"/>
      <c r="AS121" s="518"/>
      <c r="AT121" s="519"/>
      <c r="AU121" s="520">
        <v>0</v>
      </c>
      <c r="AV121" s="521"/>
      <c r="AW121" s="53"/>
      <c r="AX121" s="518"/>
      <c r="AY121" s="519"/>
      <c r="AZ121" s="520">
        <v>0</v>
      </c>
      <c r="BA121" s="521"/>
      <c r="BB121" s="53"/>
      <c r="BC121" s="518"/>
      <c r="BD121" s="519"/>
      <c r="BE121" s="520">
        <v>0</v>
      </c>
      <c r="BF121" s="521"/>
      <c r="BG121" s="53"/>
      <c r="BH121" s="518"/>
      <c r="BI121" s="519"/>
      <c r="BJ121" s="520">
        <v>0</v>
      </c>
      <c r="BK121" s="521"/>
      <c r="BL121" s="53"/>
      <c r="BM121" s="518"/>
      <c r="BN121" s="519"/>
      <c r="BO121" s="520">
        <v>0</v>
      </c>
      <c r="BP121" s="521"/>
      <c r="BQ121" s="53"/>
      <c r="BR121" s="518"/>
      <c r="BS121" s="519"/>
      <c r="BT121" s="520">
        <f>SUM(L121:BO121)</f>
        <v>5408252</v>
      </c>
      <c r="BU121" s="521"/>
      <c r="BV121" s="53"/>
      <c r="BW121" s="465"/>
      <c r="BZ121" s="410"/>
      <c r="CA121" s="410"/>
    </row>
    <row r="122" spans="1:79" x14ac:dyDescent="0.2">
      <c r="A122" s="377"/>
      <c r="B122" s="377"/>
      <c r="D122" s="465" t="s">
        <v>380</v>
      </c>
      <c r="E122" s="518"/>
      <c r="F122" s="417"/>
      <c r="G122" s="53">
        <v>0</v>
      </c>
      <c r="H122" s="52"/>
      <c r="I122" s="53"/>
      <c r="J122" s="518"/>
      <c r="K122" s="518"/>
      <c r="L122" s="53">
        <v>0</v>
      </c>
      <c r="M122" s="52"/>
      <c r="N122" s="53"/>
      <c r="O122" s="518"/>
      <c r="P122" s="518"/>
      <c r="Q122" s="53">
        <v>0</v>
      </c>
      <c r="R122" s="52"/>
      <c r="S122" s="53"/>
      <c r="T122" s="518"/>
      <c r="U122" s="518"/>
      <c r="V122" s="53">
        <v>0</v>
      </c>
      <c r="W122" s="52"/>
      <c r="X122" s="53"/>
      <c r="Y122" s="518"/>
      <c r="Z122" s="518"/>
      <c r="AA122" s="53">
        <v>0</v>
      </c>
      <c r="AB122" s="52"/>
      <c r="AC122" s="53"/>
      <c r="AD122" s="518"/>
      <c r="AE122" s="518"/>
      <c r="AF122" s="53">
        <v>0</v>
      </c>
      <c r="AG122" s="52"/>
      <c r="AH122" s="53"/>
      <c r="AI122" s="518"/>
      <c r="AJ122" s="518"/>
      <c r="AK122" s="53">
        <v>1192748</v>
      </c>
      <c r="AL122" s="52"/>
      <c r="AM122" s="53"/>
      <c r="AN122" s="518"/>
      <c r="AO122" s="518"/>
      <c r="AP122" s="53">
        <v>0</v>
      </c>
      <c r="AQ122" s="52"/>
      <c r="AR122" s="53"/>
      <c r="AS122" s="518"/>
      <c r="AT122" s="518"/>
      <c r="AU122" s="53">
        <v>0</v>
      </c>
      <c r="AV122" s="52"/>
      <c r="AW122" s="53"/>
      <c r="AX122" s="518"/>
      <c r="AY122" s="518"/>
      <c r="AZ122" s="53">
        <v>0</v>
      </c>
      <c r="BA122" s="52"/>
      <c r="BB122" s="53"/>
      <c r="BC122" s="518"/>
      <c r="BD122" s="518"/>
      <c r="BE122" s="53">
        <v>0</v>
      </c>
      <c r="BF122" s="52"/>
      <c r="BG122" s="53"/>
      <c r="BH122" s="518"/>
      <c r="BI122" s="518"/>
      <c r="BJ122" s="53">
        <v>0</v>
      </c>
      <c r="BK122" s="52"/>
      <c r="BL122" s="53"/>
      <c r="BM122" s="518"/>
      <c r="BN122" s="518"/>
      <c r="BO122" s="53">
        <v>0</v>
      </c>
      <c r="BP122" s="52"/>
      <c r="BQ122" s="53"/>
      <c r="BR122" s="518"/>
      <c r="BS122" s="518"/>
      <c r="BT122" s="53">
        <f>SUM(L122:BO122)</f>
        <v>1192748</v>
      </c>
      <c r="BU122" s="52"/>
      <c r="BV122" s="53"/>
      <c r="BW122" s="465"/>
      <c r="BZ122" s="410"/>
      <c r="CA122" s="410"/>
    </row>
    <row r="123" spans="1:79" x14ac:dyDescent="0.2">
      <c r="A123" s="377"/>
      <c r="B123" s="377"/>
      <c r="D123" s="465" t="s">
        <v>388</v>
      </c>
      <c r="E123" s="518"/>
      <c r="F123" s="478"/>
      <c r="G123" s="102">
        <v>0</v>
      </c>
      <c r="H123" s="101"/>
      <c r="I123" s="53"/>
      <c r="J123" s="518"/>
      <c r="K123" s="522"/>
      <c r="L123" s="102">
        <v>0</v>
      </c>
      <c r="M123" s="101"/>
      <c r="N123" s="53"/>
      <c r="O123" s="518"/>
      <c r="P123" s="522"/>
      <c r="Q123" s="102">
        <v>0</v>
      </c>
      <c r="R123" s="101"/>
      <c r="S123" s="53"/>
      <c r="T123" s="518"/>
      <c r="U123" s="522"/>
      <c r="V123" s="102">
        <v>0</v>
      </c>
      <c r="W123" s="101"/>
      <c r="X123" s="53"/>
      <c r="Y123" s="518"/>
      <c r="Z123" s="522"/>
      <c r="AA123" s="102">
        <v>0</v>
      </c>
      <c r="AB123" s="101"/>
      <c r="AC123" s="53"/>
      <c r="AD123" s="518"/>
      <c r="AE123" s="522"/>
      <c r="AF123" s="102">
        <v>0</v>
      </c>
      <c r="AG123" s="101"/>
      <c r="AH123" s="53"/>
      <c r="AI123" s="518"/>
      <c r="AJ123" s="522"/>
      <c r="AK123" s="102">
        <v>0</v>
      </c>
      <c r="AL123" s="101"/>
      <c r="AM123" s="53"/>
      <c r="AN123" s="518"/>
      <c r="AO123" s="522"/>
      <c r="AP123" s="102">
        <v>0</v>
      </c>
      <c r="AQ123" s="101"/>
      <c r="AR123" s="53"/>
      <c r="AS123" s="518"/>
      <c r="AT123" s="522"/>
      <c r="AU123" s="102">
        <v>0</v>
      </c>
      <c r="AV123" s="101"/>
      <c r="AW123" s="53"/>
      <c r="AX123" s="518"/>
      <c r="AY123" s="522"/>
      <c r="AZ123" s="102">
        <v>0</v>
      </c>
      <c r="BA123" s="101"/>
      <c r="BB123" s="53"/>
      <c r="BC123" s="518"/>
      <c r="BD123" s="522"/>
      <c r="BE123" s="102">
        <v>0</v>
      </c>
      <c r="BF123" s="101"/>
      <c r="BG123" s="53"/>
      <c r="BH123" s="518"/>
      <c r="BI123" s="522"/>
      <c r="BJ123" s="102">
        <v>0</v>
      </c>
      <c r="BK123" s="101"/>
      <c r="BL123" s="53"/>
      <c r="BM123" s="518"/>
      <c r="BN123" s="522"/>
      <c r="BO123" s="102">
        <v>0</v>
      </c>
      <c r="BP123" s="101"/>
      <c r="BQ123" s="53"/>
      <c r="BR123" s="518"/>
      <c r="BS123" s="522"/>
      <c r="BT123" s="102">
        <f>SUM(L123:BO123)</f>
        <v>0</v>
      </c>
      <c r="BU123" s="101"/>
      <c r="BV123" s="53"/>
      <c r="BW123" s="465"/>
      <c r="BZ123" s="410"/>
      <c r="CA123" s="410"/>
    </row>
    <row r="124" spans="1:79" hidden="1" x14ac:dyDescent="0.2">
      <c r="A124" s="377"/>
      <c r="B124" s="377"/>
      <c r="D124" s="465"/>
      <c r="E124" s="518"/>
      <c r="F124" s="377"/>
      <c r="G124" s="53"/>
      <c r="H124" s="53"/>
      <c r="I124" s="53"/>
      <c r="J124" s="518"/>
      <c r="K124" s="53"/>
      <c r="L124" s="53"/>
      <c r="M124" s="53"/>
      <c r="N124" s="53"/>
      <c r="O124" s="518"/>
      <c r="P124" s="53"/>
      <c r="Q124" s="53"/>
      <c r="R124" s="53"/>
      <c r="S124" s="53"/>
      <c r="T124" s="518"/>
      <c r="U124" s="53"/>
      <c r="V124" s="53"/>
      <c r="W124" s="53"/>
      <c r="X124" s="53"/>
      <c r="Y124" s="518"/>
      <c r="Z124" s="53"/>
      <c r="AA124" s="53"/>
      <c r="AB124" s="53"/>
      <c r="AC124" s="53"/>
      <c r="AD124" s="518"/>
      <c r="AE124" s="53"/>
      <c r="AF124" s="53"/>
      <c r="AG124" s="53"/>
      <c r="AH124" s="53"/>
      <c r="AI124" s="518"/>
      <c r="AJ124" s="53"/>
      <c r="AK124" s="53"/>
      <c r="AL124" s="53"/>
      <c r="AM124" s="53"/>
      <c r="AN124" s="518"/>
      <c r="AO124" s="53"/>
      <c r="AP124" s="53"/>
      <c r="AQ124" s="53"/>
      <c r="AR124" s="53"/>
      <c r="AS124" s="518"/>
      <c r="AT124" s="53"/>
      <c r="AU124" s="53"/>
      <c r="AV124" s="53"/>
      <c r="AW124" s="53"/>
      <c r="AX124" s="518"/>
      <c r="AY124" s="53"/>
      <c r="AZ124" s="53"/>
      <c r="BA124" s="53"/>
      <c r="BB124" s="53"/>
      <c r="BC124" s="518"/>
      <c r="BD124" s="53"/>
      <c r="BE124" s="53"/>
      <c r="BF124" s="53"/>
      <c r="BG124" s="53"/>
      <c r="BH124" s="518"/>
      <c r="BI124" s="53"/>
      <c r="BJ124" s="53"/>
      <c r="BK124" s="53"/>
      <c r="BL124" s="53"/>
      <c r="BM124" s="518"/>
      <c r="BN124" s="53"/>
      <c r="BO124" s="53"/>
      <c r="BP124" s="53"/>
      <c r="BQ124" s="53"/>
      <c r="BR124" s="518"/>
      <c r="BS124" s="53"/>
      <c r="BT124" s="53"/>
      <c r="BU124" s="53"/>
      <c r="BV124" s="53"/>
      <c r="BW124" s="465"/>
      <c r="BZ124" s="410"/>
      <c r="CA124" s="410"/>
    </row>
    <row r="125" spans="1:79" hidden="1" x14ac:dyDescent="0.2">
      <c r="A125" s="377"/>
      <c r="B125" s="377"/>
      <c r="D125" s="465" t="s">
        <v>401</v>
      </c>
      <c r="E125" s="518"/>
      <c r="F125" s="377"/>
      <c r="G125" s="53">
        <f>SUM(G126:G129)</f>
        <v>0</v>
      </c>
      <c r="H125" s="53"/>
      <c r="I125" s="53"/>
      <c r="J125" s="518"/>
      <c r="K125" s="53"/>
      <c r="L125" s="53">
        <f>SUM(L126:L129)</f>
        <v>0</v>
      </c>
      <c r="M125" s="53"/>
      <c r="N125" s="53"/>
      <c r="O125" s="518"/>
      <c r="P125" s="53"/>
      <c r="Q125" s="53">
        <f>SUM(Q126:Q129)</f>
        <v>0</v>
      </c>
      <c r="R125" s="53"/>
      <c r="S125" s="53"/>
      <c r="T125" s="518"/>
      <c r="U125" s="53"/>
      <c r="V125" s="53">
        <f>SUM(V126:V129)</f>
        <v>0</v>
      </c>
      <c r="W125" s="53"/>
      <c r="X125" s="53"/>
      <c r="Y125" s="518"/>
      <c r="Z125" s="53"/>
      <c r="AA125" s="53">
        <f>SUM(AA126:AA129)</f>
        <v>0</v>
      </c>
      <c r="AB125" s="53"/>
      <c r="AC125" s="53"/>
      <c r="AD125" s="518"/>
      <c r="AE125" s="53"/>
      <c r="AF125" s="53">
        <f>SUM(AF126:AF129)</f>
        <v>0</v>
      </c>
      <c r="AG125" s="53"/>
      <c r="AH125" s="53"/>
      <c r="AI125" s="518"/>
      <c r="AJ125" s="53"/>
      <c r="AK125" s="53">
        <f>SUM(AK126:AK129)</f>
        <v>0</v>
      </c>
      <c r="AL125" s="53"/>
      <c r="AM125" s="53"/>
      <c r="AN125" s="518"/>
      <c r="AO125" s="53"/>
      <c r="AP125" s="53">
        <f>SUM(AP126:AP129)</f>
        <v>0</v>
      </c>
      <c r="AQ125" s="53"/>
      <c r="AR125" s="53"/>
      <c r="AS125" s="518"/>
      <c r="AT125" s="53"/>
      <c r="AU125" s="53">
        <f>SUM(AU126:AU129)</f>
        <v>0</v>
      </c>
      <c r="AV125" s="53"/>
      <c r="AW125" s="53"/>
      <c r="AX125" s="518"/>
      <c r="AY125" s="53"/>
      <c r="AZ125" s="53">
        <f>SUM(AZ126:AZ129)</f>
        <v>0</v>
      </c>
      <c r="BA125" s="53"/>
      <c r="BB125" s="53"/>
      <c r="BC125" s="518"/>
      <c r="BD125" s="53"/>
      <c r="BE125" s="53">
        <f>SUM(BE126:BE129)</f>
        <v>0</v>
      </c>
      <c r="BF125" s="53"/>
      <c r="BG125" s="53"/>
      <c r="BH125" s="518"/>
      <c r="BI125" s="53"/>
      <c r="BJ125" s="53">
        <f>SUM(BJ126:BJ129)</f>
        <v>0</v>
      </c>
      <c r="BK125" s="53"/>
      <c r="BL125" s="53"/>
      <c r="BM125" s="518"/>
      <c r="BN125" s="53"/>
      <c r="BO125" s="53">
        <f>SUM(BO126:BO129)</f>
        <v>0</v>
      </c>
      <c r="BP125" s="53"/>
      <c r="BQ125" s="53"/>
      <c r="BR125" s="518"/>
      <c r="BS125" s="53"/>
      <c r="BT125" s="53">
        <f>SUM(BT126:BT129)</f>
        <v>0</v>
      </c>
      <c r="BU125" s="53"/>
      <c r="BV125" s="53"/>
      <c r="BW125" s="465"/>
      <c r="BZ125" s="410"/>
      <c r="CA125" s="410"/>
    </row>
    <row r="126" spans="1:79" hidden="1" x14ac:dyDescent="0.2">
      <c r="A126" s="377"/>
      <c r="B126" s="377"/>
      <c r="D126" s="465" t="s">
        <v>378</v>
      </c>
      <c r="E126" s="518"/>
      <c r="F126" s="469"/>
      <c r="G126" s="520">
        <v>0</v>
      </c>
      <c r="H126" s="521"/>
      <c r="I126" s="53"/>
      <c r="J126" s="518"/>
      <c r="K126" s="519"/>
      <c r="L126" s="520">
        <v>0</v>
      </c>
      <c r="M126" s="521"/>
      <c r="N126" s="53"/>
      <c r="O126" s="518"/>
      <c r="P126" s="519"/>
      <c r="Q126" s="520">
        <v>0</v>
      </c>
      <c r="R126" s="521"/>
      <c r="S126" s="53"/>
      <c r="T126" s="518"/>
      <c r="U126" s="519"/>
      <c r="V126" s="520">
        <v>0</v>
      </c>
      <c r="W126" s="521"/>
      <c r="X126" s="53"/>
      <c r="Y126" s="518"/>
      <c r="Z126" s="519"/>
      <c r="AA126" s="520">
        <v>0</v>
      </c>
      <c r="AB126" s="521"/>
      <c r="AC126" s="53"/>
      <c r="AD126" s="518"/>
      <c r="AE126" s="519"/>
      <c r="AF126" s="520">
        <v>0</v>
      </c>
      <c r="AG126" s="521"/>
      <c r="AH126" s="53"/>
      <c r="AI126" s="518"/>
      <c r="AJ126" s="519"/>
      <c r="AK126" s="520">
        <v>0</v>
      </c>
      <c r="AL126" s="521"/>
      <c r="AM126" s="53"/>
      <c r="AN126" s="518"/>
      <c r="AO126" s="519"/>
      <c r="AP126" s="520">
        <v>0</v>
      </c>
      <c r="AQ126" s="521"/>
      <c r="AR126" s="53"/>
      <c r="AS126" s="518"/>
      <c r="AT126" s="519"/>
      <c r="AU126" s="520">
        <v>0</v>
      </c>
      <c r="AV126" s="521"/>
      <c r="AW126" s="53"/>
      <c r="AX126" s="518"/>
      <c r="AY126" s="519"/>
      <c r="AZ126" s="520">
        <v>0</v>
      </c>
      <c r="BA126" s="521"/>
      <c r="BB126" s="53"/>
      <c r="BC126" s="518"/>
      <c r="BD126" s="519"/>
      <c r="BE126" s="520">
        <v>0</v>
      </c>
      <c r="BF126" s="521"/>
      <c r="BG126" s="53"/>
      <c r="BH126" s="518"/>
      <c r="BI126" s="519"/>
      <c r="BJ126" s="520">
        <v>0</v>
      </c>
      <c r="BK126" s="521"/>
      <c r="BL126" s="53"/>
      <c r="BM126" s="518"/>
      <c r="BN126" s="519"/>
      <c r="BO126" s="520">
        <v>0</v>
      </c>
      <c r="BP126" s="521"/>
      <c r="BQ126" s="53"/>
      <c r="BR126" s="518"/>
      <c r="BS126" s="519"/>
      <c r="BT126" s="520">
        <f>SUM(L126:BO126)</f>
        <v>0</v>
      </c>
      <c r="BU126" s="521"/>
      <c r="BV126" s="53"/>
      <c r="BW126" s="465"/>
      <c r="BZ126" s="410"/>
      <c r="CA126" s="410"/>
    </row>
    <row r="127" spans="1:79" hidden="1" x14ac:dyDescent="0.2">
      <c r="A127" s="377"/>
      <c r="B127" s="377"/>
      <c r="D127" s="465" t="s">
        <v>380</v>
      </c>
      <c r="E127" s="518"/>
      <c r="F127" s="417"/>
      <c r="G127" s="53">
        <v>0</v>
      </c>
      <c r="H127" s="52"/>
      <c r="I127" s="53"/>
      <c r="J127" s="518"/>
      <c r="K127" s="518"/>
      <c r="L127" s="53">
        <v>0</v>
      </c>
      <c r="M127" s="52"/>
      <c r="N127" s="53"/>
      <c r="O127" s="518"/>
      <c r="P127" s="518"/>
      <c r="Q127" s="53">
        <v>0</v>
      </c>
      <c r="R127" s="52"/>
      <c r="S127" s="53"/>
      <c r="T127" s="518"/>
      <c r="U127" s="518"/>
      <c r="V127" s="53">
        <v>0</v>
      </c>
      <c r="W127" s="52"/>
      <c r="X127" s="53"/>
      <c r="Y127" s="518"/>
      <c r="Z127" s="518"/>
      <c r="AA127" s="53">
        <v>0</v>
      </c>
      <c r="AB127" s="52"/>
      <c r="AC127" s="53"/>
      <c r="AD127" s="518"/>
      <c r="AE127" s="518"/>
      <c r="AF127" s="53">
        <v>0</v>
      </c>
      <c r="AG127" s="52"/>
      <c r="AH127" s="53"/>
      <c r="AI127" s="518"/>
      <c r="AJ127" s="518"/>
      <c r="AK127" s="53">
        <v>0</v>
      </c>
      <c r="AL127" s="52"/>
      <c r="AM127" s="53"/>
      <c r="AN127" s="518"/>
      <c r="AO127" s="518"/>
      <c r="AP127" s="53">
        <v>0</v>
      </c>
      <c r="AQ127" s="52"/>
      <c r="AR127" s="53"/>
      <c r="AS127" s="518"/>
      <c r="AT127" s="518"/>
      <c r="AU127" s="53">
        <v>0</v>
      </c>
      <c r="AV127" s="52"/>
      <c r="AW127" s="53"/>
      <c r="AX127" s="518"/>
      <c r="AY127" s="518"/>
      <c r="AZ127" s="53">
        <v>0</v>
      </c>
      <c r="BA127" s="52"/>
      <c r="BB127" s="53"/>
      <c r="BC127" s="518"/>
      <c r="BD127" s="518"/>
      <c r="BE127" s="53">
        <v>0</v>
      </c>
      <c r="BF127" s="52"/>
      <c r="BG127" s="53"/>
      <c r="BH127" s="518"/>
      <c r="BI127" s="518"/>
      <c r="BJ127" s="53">
        <v>0</v>
      </c>
      <c r="BK127" s="52"/>
      <c r="BL127" s="53"/>
      <c r="BM127" s="518"/>
      <c r="BN127" s="518"/>
      <c r="BO127" s="53">
        <v>0</v>
      </c>
      <c r="BP127" s="52"/>
      <c r="BQ127" s="53"/>
      <c r="BR127" s="518"/>
      <c r="BS127" s="518"/>
      <c r="BT127" s="53">
        <f>SUM(L127:BO127)</f>
        <v>0</v>
      </c>
      <c r="BU127" s="52"/>
      <c r="BV127" s="53"/>
      <c r="BW127" s="465"/>
      <c r="BZ127" s="410"/>
      <c r="CA127" s="410"/>
    </row>
    <row r="128" spans="1:79" hidden="1" x14ac:dyDescent="0.2">
      <c r="A128" s="377"/>
      <c r="B128" s="377"/>
      <c r="D128" s="465" t="s">
        <v>381</v>
      </c>
      <c r="E128" s="518"/>
      <c r="F128" s="417"/>
      <c r="G128" s="53">
        <v>0</v>
      </c>
      <c r="H128" s="52"/>
      <c r="I128" s="53"/>
      <c r="J128" s="518"/>
      <c r="K128" s="518"/>
      <c r="L128" s="53">
        <v>0</v>
      </c>
      <c r="M128" s="52"/>
      <c r="N128" s="53"/>
      <c r="O128" s="518"/>
      <c r="P128" s="518"/>
      <c r="Q128" s="53">
        <v>0</v>
      </c>
      <c r="R128" s="52"/>
      <c r="S128" s="53"/>
      <c r="T128" s="518"/>
      <c r="U128" s="518"/>
      <c r="V128" s="53">
        <v>0</v>
      </c>
      <c r="W128" s="52"/>
      <c r="X128" s="53"/>
      <c r="Y128" s="518"/>
      <c r="Z128" s="518"/>
      <c r="AA128" s="53">
        <v>0</v>
      </c>
      <c r="AB128" s="52"/>
      <c r="AC128" s="53"/>
      <c r="AD128" s="518"/>
      <c r="AE128" s="518"/>
      <c r="AF128" s="53">
        <v>0</v>
      </c>
      <c r="AG128" s="52"/>
      <c r="AH128" s="53"/>
      <c r="AI128" s="518"/>
      <c r="AJ128" s="518"/>
      <c r="AK128" s="53">
        <v>0</v>
      </c>
      <c r="AL128" s="52"/>
      <c r="AM128" s="53"/>
      <c r="AN128" s="518"/>
      <c r="AO128" s="518"/>
      <c r="AP128" s="53">
        <v>0</v>
      </c>
      <c r="AQ128" s="52"/>
      <c r="AR128" s="53"/>
      <c r="AS128" s="518"/>
      <c r="AT128" s="518"/>
      <c r="AU128" s="53">
        <v>0</v>
      </c>
      <c r="AV128" s="52"/>
      <c r="AW128" s="53"/>
      <c r="AX128" s="518"/>
      <c r="AY128" s="518"/>
      <c r="AZ128" s="53">
        <v>0</v>
      </c>
      <c r="BA128" s="52"/>
      <c r="BB128" s="53"/>
      <c r="BC128" s="518"/>
      <c r="BD128" s="518"/>
      <c r="BE128" s="53">
        <v>0</v>
      </c>
      <c r="BF128" s="52"/>
      <c r="BG128" s="53"/>
      <c r="BH128" s="518"/>
      <c r="BI128" s="518"/>
      <c r="BJ128" s="53">
        <v>0</v>
      </c>
      <c r="BK128" s="52"/>
      <c r="BL128" s="53"/>
      <c r="BM128" s="518"/>
      <c r="BN128" s="518"/>
      <c r="BO128" s="53">
        <v>0</v>
      </c>
      <c r="BP128" s="52"/>
      <c r="BQ128" s="53"/>
      <c r="BR128" s="518"/>
      <c r="BS128" s="518"/>
      <c r="BT128" s="53">
        <f>SUM(L128:BO128)</f>
        <v>0</v>
      </c>
      <c r="BU128" s="52"/>
      <c r="BV128" s="53"/>
      <c r="BW128" s="465"/>
      <c r="BZ128" s="410"/>
      <c r="CA128" s="410"/>
    </row>
    <row r="129" spans="1:79" hidden="1" x14ac:dyDescent="0.2">
      <c r="A129" s="377"/>
      <c r="B129" s="377"/>
      <c r="D129" s="465" t="s">
        <v>382</v>
      </c>
      <c r="E129" s="518"/>
      <c r="F129" s="478"/>
      <c r="G129" s="102">
        <v>0</v>
      </c>
      <c r="H129" s="101"/>
      <c r="I129" s="53"/>
      <c r="J129" s="518"/>
      <c r="K129" s="522"/>
      <c r="L129" s="102">
        <v>0</v>
      </c>
      <c r="M129" s="101"/>
      <c r="N129" s="53"/>
      <c r="O129" s="518"/>
      <c r="P129" s="522"/>
      <c r="Q129" s="102">
        <v>0</v>
      </c>
      <c r="R129" s="101"/>
      <c r="S129" s="53"/>
      <c r="T129" s="518"/>
      <c r="U129" s="522"/>
      <c r="V129" s="102">
        <v>0</v>
      </c>
      <c r="W129" s="101"/>
      <c r="X129" s="53"/>
      <c r="Y129" s="518"/>
      <c r="Z129" s="522"/>
      <c r="AA129" s="102">
        <v>0</v>
      </c>
      <c r="AB129" s="101"/>
      <c r="AC129" s="53"/>
      <c r="AD129" s="518"/>
      <c r="AE129" s="522"/>
      <c r="AF129" s="102">
        <v>0</v>
      </c>
      <c r="AG129" s="101"/>
      <c r="AH129" s="53"/>
      <c r="AI129" s="518"/>
      <c r="AJ129" s="522"/>
      <c r="AK129" s="102">
        <v>0</v>
      </c>
      <c r="AL129" s="101"/>
      <c r="AM129" s="53"/>
      <c r="AN129" s="518"/>
      <c r="AO129" s="522"/>
      <c r="AP129" s="102">
        <v>0</v>
      </c>
      <c r="AQ129" s="101"/>
      <c r="AR129" s="53"/>
      <c r="AS129" s="518"/>
      <c r="AT129" s="522"/>
      <c r="AU129" s="102">
        <v>0</v>
      </c>
      <c r="AV129" s="101"/>
      <c r="AW129" s="53"/>
      <c r="AX129" s="518"/>
      <c r="AY129" s="522"/>
      <c r="AZ129" s="102">
        <v>0</v>
      </c>
      <c r="BA129" s="101"/>
      <c r="BB129" s="53"/>
      <c r="BC129" s="518"/>
      <c r="BD129" s="522"/>
      <c r="BE129" s="102">
        <v>0</v>
      </c>
      <c r="BF129" s="101"/>
      <c r="BG129" s="53"/>
      <c r="BH129" s="518"/>
      <c r="BI129" s="522"/>
      <c r="BJ129" s="102">
        <v>0</v>
      </c>
      <c r="BK129" s="101"/>
      <c r="BL129" s="53"/>
      <c r="BM129" s="518"/>
      <c r="BN129" s="522"/>
      <c r="BO129" s="102">
        <v>0</v>
      </c>
      <c r="BP129" s="101"/>
      <c r="BQ129" s="53"/>
      <c r="BR129" s="518"/>
      <c r="BS129" s="522"/>
      <c r="BT129" s="102">
        <f>SUM(L129:BO129)</f>
        <v>0</v>
      </c>
      <c r="BU129" s="101"/>
      <c r="BV129" s="53"/>
      <c r="BW129" s="465"/>
      <c r="BZ129" s="410"/>
      <c r="CA129" s="410"/>
    </row>
    <row r="130" spans="1:79" hidden="1" x14ac:dyDescent="0.2">
      <c r="A130" s="377"/>
      <c r="B130" s="377"/>
      <c r="D130" s="465"/>
      <c r="E130" s="518"/>
      <c r="F130" s="377"/>
      <c r="G130" s="53"/>
      <c r="H130" s="53"/>
      <c r="I130" s="53"/>
      <c r="J130" s="518"/>
      <c r="K130" s="53"/>
      <c r="L130" s="53"/>
      <c r="M130" s="53"/>
      <c r="N130" s="53"/>
      <c r="O130" s="518"/>
      <c r="P130" s="53"/>
      <c r="Q130" s="53"/>
      <c r="R130" s="53"/>
      <c r="S130" s="53"/>
      <c r="T130" s="518"/>
      <c r="U130" s="53"/>
      <c r="V130" s="53"/>
      <c r="W130" s="53"/>
      <c r="X130" s="53"/>
      <c r="Y130" s="518"/>
      <c r="Z130" s="53"/>
      <c r="AA130" s="53"/>
      <c r="AB130" s="53"/>
      <c r="AC130" s="53"/>
      <c r="AD130" s="518"/>
      <c r="AE130" s="53"/>
      <c r="AF130" s="53"/>
      <c r="AG130" s="53"/>
      <c r="AH130" s="53"/>
      <c r="AI130" s="518"/>
      <c r="AJ130" s="53"/>
      <c r="AK130" s="53"/>
      <c r="AL130" s="53"/>
      <c r="AM130" s="53"/>
      <c r="AN130" s="518"/>
      <c r="AO130" s="53"/>
      <c r="AP130" s="53"/>
      <c r="AQ130" s="53"/>
      <c r="AR130" s="53"/>
      <c r="AS130" s="518"/>
      <c r="AT130" s="53"/>
      <c r="AU130" s="53"/>
      <c r="AV130" s="53"/>
      <c r="AW130" s="53"/>
      <c r="AX130" s="518"/>
      <c r="AY130" s="53"/>
      <c r="AZ130" s="53"/>
      <c r="BA130" s="53"/>
      <c r="BB130" s="53"/>
      <c r="BC130" s="518"/>
      <c r="BD130" s="53"/>
      <c r="BE130" s="53"/>
      <c r="BF130" s="53"/>
      <c r="BG130" s="53"/>
      <c r="BH130" s="518"/>
      <c r="BI130" s="53"/>
      <c r="BJ130" s="53"/>
      <c r="BK130" s="53"/>
      <c r="BL130" s="53"/>
      <c r="BM130" s="518"/>
      <c r="BN130" s="53"/>
      <c r="BO130" s="53"/>
      <c r="BP130" s="53"/>
      <c r="BQ130" s="53"/>
      <c r="BR130" s="518"/>
      <c r="BS130" s="53"/>
      <c r="BT130" s="53"/>
      <c r="BU130" s="53"/>
      <c r="BV130" s="53"/>
      <c r="BW130" s="465"/>
      <c r="BZ130" s="410"/>
      <c r="CA130" s="410"/>
    </row>
    <row r="131" spans="1:79" ht="12.75" hidden="1" customHeight="1" x14ac:dyDescent="0.2">
      <c r="A131" s="377"/>
      <c r="B131" s="377"/>
      <c r="D131" s="465" t="s">
        <v>402</v>
      </c>
      <c r="E131" s="518"/>
      <c r="F131" s="377"/>
      <c r="G131" s="53">
        <f>SUM(G132:G135)</f>
        <v>0</v>
      </c>
      <c r="H131" s="53"/>
      <c r="I131" s="53"/>
      <c r="J131" s="518"/>
      <c r="K131" s="53"/>
      <c r="L131" s="53">
        <f>SUM(L132:L135)</f>
        <v>0</v>
      </c>
      <c r="M131" s="53"/>
      <c r="N131" s="53"/>
      <c r="O131" s="518"/>
      <c r="P131" s="53"/>
      <c r="Q131" s="53">
        <f>SUM(Q132:Q135)</f>
        <v>0</v>
      </c>
      <c r="R131" s="53"/>
      <c r="S131" s="53"/>
      <c r="T131" s="518"/>
      <c r="U131" s="53"/>
      <c r="V131" s="53">
        <f>SUM(V132:V135)</f>
        <v>0</v>
      </c>
      <c r="W131" s="53"/>
      <c r="X131" s="53"/>
      <c r="Y131" s="518"/>
      <c r="Z131" s="53"/>
      <c r="AA131" s="53">
        <f>SUM(AA132:AA135)</f>
        <v>0</v>
      </c>
      <c r="AB131" s="53"/>
      <c r="AC131" s="53"/>
      <c r="AD131" s="518"/>
      <c r="AE131" s="53"/>
      <c r="AF131" s="53">
        <f>SUM(AF132:AF135)</f>
        <v>0</v>
      </c>
      <c r="AG131" s="53"/>
      <c r="AH131" s="53"/>
      <c r="AI131" s="518"/>
      <c r="AJ131" s="53"/>
      <c r="AK131" s="53">
        <f>SUM(AK132:AK135)</f>
        <v>0</v>
      </c>
      <c r="AL131" s="53"/>
      <c r="AM131" s="53"/>
      <c r="AN131" s="518"/>
      <c r="AO131" s="53"/>
      <c r="AP131" s="53">
        <f>SUM(AP132:AP135)</f>
        <v>0</v>
      </c>
      <c r="AQ131" s="53"/>
      <c r="AR131" s="53"/>
      <c r="AS131" s="518"/>
      <c r="AT131" s="53"/>
      <c r="AU131" s="53">
        <f>SUM(AU132:AU135)</f>
        <v>0</v>
      </c>
      <c r="AV131" s="53"/>
      <c r="AW131" s="53"/>
      <c r="AX131" s="518"/>
      <c r="AY131" s="53"/>
      <c r="AZ131" s="53">
        <f>SUM(AZ132:AZ135)</f>
        <v>0</v>
      </c>
      <c r="BA131" s="53"/>
      <c r="BB131" s="53"/>
      <c r="BC131" s="518"/>
      <c r="BD131" s="53"/>
      <c r="BE131" s="53">
        <f>SUM(BE132:BE135)</f>
        <v>0</v>
      </c>
      <c r="BF131" s="53"/>
      <c r="BG131" s="53"/>
      <c r="BH131" s="518"/>
      <c r="BI131" s="53"/>
      <c r="BJ131" s="53">
        <f>SUM(BJ132:BJ135)</f>
        <v>0</v>
      </c>
      <c r="BK131" s="53"/>
      <c r="BL131" s="53"/>
      <c r="BM131" s="518"/>
      <c r="BN131" s="53"/>
      <c r="BO131" s="53">
        <f>SUM(BO132:BO135)</f>
        <v>0</v>
      </c>
      <c r="BP131" s="53"/>
      <c r="BQ131" s="53"/>
      <c r="BR131" s="518"/>
      <c r="BS131" s="53"/>
      <c r="BT131" s="53">
        <f>SUM(BT132:BT135)</f>
        <v>0</v>
      </c>
      <c r="BU131" s="53"/>
      <c r="BV131" s="53"/>
      <c r="BW131" s="465"/>
      <c r="BZ131" s="410"/>
      <c r="CA131" s="410"/>
    </row>
    <row r="132" spans="1:79" ht="12.75" hidden="1" customHeight="1" x14ac:dyDescent="0.2">
      <c r="A132" s="377"/>
      <c r="B132" s="377"/>
      <c r="D132" s="465" t="s">
        <v>378</v>
      </c>
      <c r="E132" s="518"/>
      <c r="F132" s="469"/>
      <c r="G132" s="520">
        <v>0</v>
      </c>
      <c r="H132" s="521"/>
      <c r="I132" s="53"/>
      <c r="J132" s="518"/>
      <c r="K132" s="519"/>
      <c r="L132" s="520">
        <v>0</v>
      </c>
      <c r="M132" s="521"/>
      <c r="N132" s="53"/>
      <c r="O132" s="518"/>
      <c r="P132" s="519"/>
      <c r="Q132" s="520">
        <v>0</v>
      </c>
      <c r="R132" s="521"/>
      <c r="S132" s="53"/>
      <c r="T132" s="518"/>
      <c r="U132" s="519"/>
      <c r="V132" s="520">
        <v>0</v>
      </c>
      <c r="W132" s="521"/>
      <c r="X132" s="53"/>
      <c r="Y132" s="518"/>
      <c r="Z132" s="519"/>
      <c r="AA132" s="520">
        <v>0</v>
      </c>
      <c r="AB132" s="521"/>
      <c r="AC132" s="53"/>
      <c r="AD132" s="518"/>
      <c r="AE132" s="519"/>
      <c r="AF132" s="520">
        <v>0</v>
      </c>
      <c r="AG132" s="521"/>
      <c r="AH132" s="53"/>
      <c r="AI132" s="518"/>
      <c r="AJ132" s="519"/>
      <c r="AK132" s="520">
        <v>0</v>
      </c>
      <c r="AL132" s="521"/>
      <c r="AM132" s="53"/>
      <c r="AN132" s="518"/>
      <c r="AO132" s="519"/>
      <c r="AP132" s="520">
        <v>0</v>
      </c>
      <c r="AQ132" s="521"/>
      <c r="AR132" s="53"/>
      <c r="AS132" s="518"/>
      <c r="AT132" s="519"/>
      <c r="AU132" s="520">
        <v>0</v>
      </c>
      <c r="AV132" s="521"/>
      <c r="AW132" s="53"/>
      <c r="AX132" s="518"/>
      <c r="AY132" s="519"/>
      <c r="AZ132" s="520">
        <v>0</v>
      </c>
      <c r="BA132" s="521"/>
      <c r="BB132" s="53"/>
      <c r="BC132" s="518"/>
      <c r="BD132" s="519"/>
      <c r="BE132" s="520">
        <v>0</v>
      </c>
      <c r="BF132" s="521"/>
      <c r="BG132" s="53"/>
      <c r="BH132" s="518"/>
      <c r="BI132" s="519"/>
      <c r="BJ132" s="520">
        <v>0</v>
      </c>
      <c r="BK132" s="521"/>
      <c r="BL132" s="53"/>
      <c r="BM132" s="518"/>
      <c r="BN132" s="519"/>
      <c r="BO132" s="520">
        <v>0</v>
      </c>
      <c r="BP132" s="521"/>
      <c r="BQ132" s="53"/>
      <c r="BR132" s="518"/>
      <c r="BS132" s="519"/>
      <c r="BT132" s="520">
        <f>SUM(L132:BO132)</f>
        <v>0</v>
      </c>
      <c r="BU132" s="521"/>
      <c r="BV132" s="53"/>
      <c r="BW132" s="465"/>
      <c r="BZ132" s="410"/>
      <c r="CA132" s="410"/>
    </row>
    <row r="133" spans="1:79" ht="12.75" hidden="1" customHeight="1" x14ac:dyDescent="0.2">
      <c r="A133" s="377"/>
      <c r="B133" s="377"/>
      <c r="D133" s="465" t="s">
        <v>380</v>
      </c>
      <c r="E133" s="518"/>
      <c r="F133" s="417"/>
      <c r="G133" s="53">
        <v>0</v>
      </c>
      <c r="H133" s="52"/>
      <c r="I133" s="53"/>
      <c r="J133" s="518"/>
      <c r="K133" s="518"/>
      <c r="L133" s="53">
        <v>0</v>
      </c>
      <c r="M133" s="52"/>
      <c r="N133" s="53"/>
      <c r="O133" s="518"/>
      <c r="P133" s="518"/>
      <c r="Q133" s="53">
        <v>0</v>
      </c>
      <c r="R133" s="52"/>
      <c r="S133" s="53"/>
      <c r="T133" s="518"/>
      <c r="U133" s="518"/>
      <c r="V133" s="53">
        <v>0</v>
      </c>
      <c r="W133" s="52"/>
      <c r="X133" s="53"/>
      <c r="Y133" s="518"/>
      <c r="Z133" s="518"/>
      <c r="AA133" s="53">
        <v>0</v>
      </c>
      <c r="AB133" s="52"/>
      <c r="AC133" s="53"/>
      <c r="AD133" s="518"/>
      <c r="AE133" s="518"/>
      <c r="AF133" s="53">
        <v>0</v>
      </c>
      <c r="AG133" s="52"/>
      <c r="AH133" s="53"/>
      <c r="AI133" s="518"/>
      <c r="AJ133" s="518"/>
      <c r="AK133" s="53">
        <v>0</v>
      </c>
      <c r="AL133" s="52"/>
      <c r="AM133" s="53"/>
      <c r="AN133" s="518"/>
      <c r="AO133" s="518"/>
      <c r="AP133" s="53">
        <v>0</v>
      </c>
      <c r="AQ133" s="52"/>
      <c r="AR133" s="53"/>
      <c r="AS133" s="518"/>
      <c r="AT133" s="518"/>
      <c r="AU133" s="53">
        <v>0</v>
      </c>
      <c r="AV133" s="52"/>
      <c r="AW133" s="53"/>
      <c r="AX133" s="518"/>
      <c r="AY133" s="518"/>
      <c r="AZ133" s="53">
        <v>0</v>
      </c>
      <c r="BA133" s="52"/>
      <c r="BB133" s="53"/>
      <c r="BC133" s="518"/>
      <c r="BD133" s="518"/>
      <c r="BE133" s="53">
        <v>0</v>
      </c>
      <c r="BF133" s="52"/>
      <c r="BG133" s="53"/>
      <c r="BH133" s="518"/>
      <c r="BI133" s="518"/>
      <c r="BJ133" s="53">
        <v>0</v>
      </c>
      <c r="BK133" s="52"/>
      <c r="BL133" s="53"/>
      <c r="BM133" s="518"/>
      <c r="BN133" s="518"/>
      <c r="BO133" s="53">
        <v>0</v>
      </c>
      <c r="BP133" s="52"/>
      <c r="BQ133" s="53"/>
      <c r="BR133" s="518"/>
      <c r="BS133" s="518"/>
      <c r="BT133" s="53">
        <f>SUM(L133:BO133)</f>
        <v>0</v>
      </c>
      <c r="BU133" s="52"/>
      <c r="BV133" s="53"/>
      <c r="BW133" s="465"/>
      <c r="BZ133" s="410"/>
      <c r="CA133" s="410"/>
    </row>
    <row r="134" spans="1:79" ht="12.75" hidden="1" customHeight="1" x14ac:dyDescent="0.2">
      <c r="A134" s="377"/>
      <c r="B134" s="377"/>
      <c r="D134" s="465" t="s">
        <v>381</v>
      </c>
      <c r="E134" s="518"/>
      <c r="F134" s="417"/>
      <c r="G134" s="53">
        <v>0</v>
      </c>
      <c r="H134" s="52"/>
      <c r="I134" s="53"/>
      <c r="J134" s="518"/>
      <c r="K134" s="518"/>
      <c r="L134" s="53">
        <v>0</v>
      </c>
      <c r="M134" s="52"/>
      <c r="N134" s="53"/>
      <c r="O134" s="518"/>
      <c r="P134" s="518"/>
      <c r="Q134" s="53">
        <v>0</v>
      </c>
      <c r="R134" s="52"/>
      <c r="S134" s="53"/>
      <c r="T134" s="518"/>
      <c r="U134" s="518"/>
      <c r="V134" s="53">
        <v>0</v>
      </c>
      <c r="W134" s="52"/>
      <c r="X134" s="53"/>
      <c r="Y134" s="518"/>
      <c r="Z134" s="518"/>
      <c r="AA134" s="53">
        <v>0</v>
      </c>
      <c r="AB134" s="52"/>
      <c r="AC134" s="53"/>
      <c r="AD134" s="518"/>
      <c r="AE134" s="518"/>
      <c r="AF134" s="53">
        <v>0</v>
      </c>
      <c r="AG134" s="52"/>
      <c r="AH134" s="53"/>
      <c r="AI134" s="518"/>
      <c r="AJ134" s="518"/>
      <c r="AK134" s="53">
        <v>0</v>
      </c>
      <c r="AL134" s="52"/>
      <c r="AM134" s="53"/>
      <c r="AN134" s="518"/>
      <c r="AO134" s="518"/>
      <c r="AP134" s="53">
        <v>0</v>
      </c>
      <c r="AQ134" s="52"/>
      <c r="AR134" s="53"/>
      <c r="AS134" s="518"/>
      <c r="AT134" s="518"/>
      <c r="AU134" s="53">
        <v>0</v>
      </c>
      <c r="AV134" s="52"/>
      <c r="AW134" s="53"/>
      <c r="AX134" s="518"/>
      <c r="AY134" s="518"/>
      <c r="AZ134" s="53">
        <v>0</v>
      </c>
      <c r="BA134" s="52"/>
      <c r="BB134" s="53"/>
      <c r="BC134" s="518"/>
      <c r="BD134" s="518"/>
      <c r="BE134" s="53">
        <v>0</v>
      </c>
      <c r="BF134" s="52"/>
      <c r="BG134" s="53"/>
      <c r="BH134" s="518"/>
      <c r="BI134" s="518"/>
      <c r="BJ134" s="53">
        <v>0</v>
      </c>
      <c r="BK134" s="52"/>
      <c r="BL134" s="53"/>
      <c r="BM134" s="518"/>
      <c r="BN134" s="518"/>
      <c r="BO134" s="53">
        <v>0</v>
      </c>
      <c r="BP134" s="52"/>
      <c r="BQ134" s="53"/>
      <c r="BR134" s="518"/>
      <c r="BS134" s="518"/>
      <c r="BT134" s="53">
        <f>SUM(L134:BO134)</f>
        <v>0</v>
      </c>
      <c r="BU134" s="52"/>
      <c r="BV134" s="53"/>
      <c r="BW134" s="465"/>
      <c r="BZ134" s="410"/>
      <c r="CA134" s="410"/>
    </row>
    <row r="135" spans="1:79" ht="12.75" hidden="1" customHeight="1" x14ac:dyDescent="0.2">
      <c r="A135" s="377"/>
      <c r="B135" s="377"/>
      <c r="D135" s="465" t="s">
        <v>382</v>
      </c>
      <c r="E135" s="518"/>
      <c r="F135" s="478"/>
      <c r="G135" s="102">
        <v>0</v>
      </c>
      <c r="H135" s="101"/>
      <c r="I135" s="53"/>
      <c r="J135" s="518"/>
      <c r="K135" s="522"/>
      <c r="L135" s="102">
        <v>0</v>
      </c>
      <c r="M135" s="101"/>
      <c r="N135" s="53"/>
      <c r="O135" s="518"/>
      <c r="P135" s="522"/>
      <c r="Q135" s="102">
        <v>0</v>
      </c>
      <c r="R135" s="101"/>
      <c r="S135" s="53"/>
      <c r="T135" s="518"/>
      <c r="U135" s="522"/>
      <c r="V135" s="102">
        <v>0</v>
      </c>
      <c r="W135" s="101"/>
      <c r="X135" s="53"/>
      <c r="Y135" s="518"/>
      <c r="Z135" s="522"/>
      <c r="AA135" s="102">
        <v>0</v>
      </c>
      <c r="AB135" s="101"/>
      <c r="AC135" s="53"/>
      <c r="AD135" s="518"/>
      <c r="AE135" s="522"/>
      <c r="AF135" s="102">
        <v>0</v>
      </c>
      <c r="AG135" s="101"/>
      <c r="AH135" s="53"/>
      <c r="AI135" s="518"/>
      <c r="AJ135" s="522"/>
      <c r="AK135" s="102">
        <v>0</v>
      </c>
      <c r="AL135" s="101"/>
      <c r="AM135" s="53"/>
      <c r="AN135" s="518"/>
      <c r="AO135" s="522"/>
      <c r="AP135" s="102">
        <v>0</v>
      </c>
      <c r="AQ135" s="101"/>
      <c r="AR135" s="53"/>
      <c r="AS135" s="518"/>
      <c r="AT135" s="522"/>
      <c r="AU135" s="102">
        <v>0</v>
      </c>
      <c r="AV135" s="101"/>
      <c r="AW135" s="53"/>
      <c r="AX135" s="518"/>
      <c r="AY135" s="522"/>
      <c r="AZ135" s="102">
        <v>0</v>
      </c>
      <c r="BA135" s="101"/>
      <c r="BB135" s="53"/>
      <c r="BC135" s="518"/>
      <c r="BD135" s="522"/>
      <c r="BE135" s="102">
        <v>0</v>
      </c>
      <c r="BF135" s="101"/>
      <c r="BG135" s="53"/>
      <c r="BH135" s="518"/>
      <c r="BI135" s="522"/>
      <c r="BJ135" s="102">
        <v>0</v>
      </c>
      <c r="BK135" s="101"/>
      <c r="BL135" s="53"/>
      <c r="BM135" s="518"/>
      <c r="BN135" s="522"/>
      <c r="BO135" s="102">
        <v>0</v>
      </c>
      <c r="BP135" s="101"/>
      <c r="BQ135" s="53"/>
      <c r="BR135" s="518"/>
      <c r="BS135" s="522"/>
      <c r="BT135" s="102">
        <f>SUM(L135:BO135)</f>
        <v>0</v>
      </c>
      <c r="BU135" s="101"/>
      <c r="BV135" s="53"/>
      <c r="BW135" s="465"/>
      <c r="BZ135" s="410"/>
      <c r="CA135" s="410"/>
    </row>
    <row r="136" spans="1:79" ht="8.25" customHeight="1" x14ac:dyDescent="0.2">
      <c r="A136" s="377"/>
      <c r="B136" s="377"/>
      <c r="D136" s="465"/>
      <c r="F136" s="377"/>
      <c r="G136" s="53"/>
      <c r="H136" s="53"/>
      <c r="I136" s="53"/>
      <c r="J136" s="518"/>
      <c r="K136" s="53"/>
      <c r="L136" s="53"/>
      <c r="M136" s="53"/>
      <c r="N136" s="53"/>
      <c r="O136" s="518"/>
      <c r="P136" s="53"/>
      <c r="Q136" s="53"/>
      <c r="R136" s="53"/>
      <c r="S136" s="53"/>
      <c r="T136" s="518"/>
      <c r="U136" s="53"/>
      <c r="V136" s="53"/>
      <c r="W136" s="53"/>
      <c r="X136" s="53"/>
      <c r="Y136" s="518"/>
      <c r="Z136" s="53"/>
      <c r="AA136" s="53"/>
      <c r="AB136" s="53"/>
      <c r="AC136" s="53"/>
      <c r="AD136" s="518"/>
      <c r="AE136" s="53"/>
      <c r="AF136" s="53"/>
      <c r="AG136" s="53"/>
      <c r="AH136" s="53"/>
      <c r="AI136" s="518"/>
      <c r="AJ136" s="53"/>
      <c r="AK136" s="53"/>
      <c r="AL136" s="53"/>
      <c r="AM136" s="53"/>
      <c r="AN136" s="518"/>
      <c r="AO136" s="53"/>
      <c r="AP136" s="53"/>
      <c r="AQ136" s="53"/>
      <c r="AR136" s="53"/>
      <c r="AS136" s="518"/>
      <c r="AT136" s="53"/>
      <c r="AU136" s="53"/>
      <c r="AV136" s="53"/>
      <c r="AW136" s="53"/>
      <c r="AX136" s="518"/>
      <c r="AY136" s="53"/>
      <c r="AZ136" s="53"/>
      <c r="BA136" s="53"/>
      <c r="BB136" s="53"/>
      <c r="BC136" s="518"/>
      <c r="BD136" s="53"/>
      <c r="BE136" s="53"/>
      <c r="BF136" s="53"/>
      <c r="BG136" s="53"/>
      <c r="BH136" s="518"/>
      <c r="BI136" s="53"/>
      <c r="BJ136" s="53"/>
      <c r="BK136" s="53"/>
      <c r="BL136" s="53"/>
      <c r="BM136" s="518"/>
      <c r="BN136" s="53"/>
      <c r="BO136" s="53"/>
      <c r="BP136" s="53"/>
      <c r="BQ136" s="53"/>
      <c r="BR136" s="518"/>
      <c r="BS136" s="53"/>
      <c r="BT136" s="53"/>
      <c r="BU136" s="53"/>
      <c r="BV136" s="53"/>
      <c r="BW136" s="465"/>
      <c r="BZ136" s="410"/>
      <c r="CA136" s="410"/>
    </row>
    <row r="137" spans="1:79" ht="12.75" customHeight="1" x14ac:dyDescent="0.2">
      <c r="A137" s="377"/>
      <c r="B137" s="377"/>
      <c r="D137" s="465" t="s">
        <v>403</v>
      </c>
      <c r="E137" s="518"/>
      <c r="F137" s="377"/>
      <c r="G137" s="53">
        <f>SUM(G138:G141)</f>
        <v>0</v>
      </c>
      <c r="H137" s="53"/>
      <c r="I137" s="53"/>
      <c r="J137" s="518"/>
      <c r="K137" s="53"/>
      <c r="L137" s="53">
        <f>SUM(L138:L141)</f>
        <v>2291175</v>
      </c>
      <c r="M137" s="53"/>
      <c r="N137" s="53"/>
      <c r="O137" s="518"/>
      <c r="P137" s="53"/>
      <c r="Q137" s="53">
        <f>SUM(Q138:Q141)</f>
        <v>0</v>
      </c>
      <c r="R137" s="53"/>
      <c r="S137" s="53"/>
      <c r="T137" s="518"/>
      <c r="U137" s="53"/>
      <c r="V137" s="53">
        <f>SUM(V138:V141)</f>
        <v>0</v>
      </c>
      <c r="W137" s="53"/>
      <c r="X137" s="53"/>
      <c r="Y137" s="518"/>
      <c r="Z137" s="53"/>
      <c r="AA137" s="53">
        <f>SUM(AA138:AA141)</f>
        <v>0</v>
      </c>
      <c r="AB137" s="53"/>
      <c r="AC137" s="53"/>
      <c r="AD137" s="518"/>
      <c r="AE137" s="53"/>
      <c r="AF137" s="53">
        <f>SUM(AF138:AF141)</f>
        <v>0</v>
      </c>
      <c r="AG137" s="53"/>
      <c r="AH137" s="53"/>
      <c r="AI137" s="518"/>
      <c r="AJ137" s="53"/>
      <c r="AK137" s="53">
        <f>SUM(AK138:AK141)</f>
        <v>0</v>
      </c>
      <c r="AL137" s="53"/>
      <c r="AM137" s="53"/>
      <c r="AN137" s="518"/>
      <c r="AO137" s="53"/>
      <c r="AP137" s="53">
        <f>SUM(AP138:AP141)</f>
        <v>0</v>
      </c>
      <c r="AQ137" s="53"/>
      <c r="AR137" s="53"/>
      <c r="AS137" s="518"/>
      <c r="AT137" s="53"/>
      <c r="AU137" s="53">
        <f>SUM(AU138:AU141)</f>
        <v>0</v>
      </c>
      <c r="AV137" s="53"/>
      <c r="AW137" s="53"/>
      <c r="AX137" s="518"/>
      <c r="AY137" s="53"/>
      <c r="AZ137" s="53">
        <f>SUM(AZ138:AZ141)</f>
        <v>0</v>
      </c>
      <c r="BA137" s="53"/>
      <c r="BB137" s="53"/>
      <c r="BC137" s="518"/>
      <c r="BD137" s="53"/>
      <c r="BE137" s="53">
        <f>SUM(BE138:BE141)</f>
        <v>0</v>
      </c>
      <c r="BF137" s="53"/>
      <c r="BG137" s="53"/>
      <c r="BH137" s="518"/>
      <c r="BI137" s="53"/>
      <c r="BJ137" s="53">
        <f>SUM(BJ138:BJ141)</f>
        <v>0</v>
      </c>
      <c r="BK137" s="53"/>
      <c r="BL137" s="53"/>
      <c r="BM137" s="518"/>
      <c r="BN137" s="53"/>
      <c r="BO137" s="53">
        <f>SUM(BO138:BO141)</f>
        <v>0</v>
      </c>
      <c r="BP137" s="53"/>
      <c r="BQ137" s="53"/>
      <c r="BR137" s="518"/>
      <c r="BS137" s="53"/>
      <c r="BT137" s="53">
        <f>SUM(BT138:BT141)</f>
        <v>2291175</v>
      </c>
      <c r="BU137" s="53"/>
      <c r="BV137" s="53"/>
      <c r="BW137" s="465"/>
      <c r="BZ137" s="410"/>
      <c r="CA137" s="410"/>
    </row>
    <row r="138" spans="1:79" ht="12.75" customHeight="1" x14ac:dyDescent="0.2">
      <c r="A138" s="377"/>
      <c r="B138" s="377"/>
      <c r="D138" s="465" t="s">
        <v>378</v>
      </c>
      <c r="E138" s="518"/>
      <c r="F138" s="469"/>
      <c r="G138" s="520">
        <v>0</v>
      </c>
      <c r="H138" s="521"/>
      <c r="I138" s="53"/>
      <c r="J138" s="518"/>
      <c r="K138" s="469"/>
      <c r="L138" s="520">
        <f>1410000-18467+4648</f>
        <v>1396181</v>
      </c>
      <c r="M138" s="521"/>
      <c r="N138" s="53"/>
      <c r="O138" s="518"/>
      <c r="P138" s="519"/>
      <c r="Q138" s="520">
        <v>0</v>
      </c>
      <c r="R138" s="521"/>
      <c r="S138" s="53"/>
      <c r="T138" s="518"/>
      <c r="U138" s="519"/>
      <c r="V138" s="520">
        <v>0</v>
      </c>
      <c r="W138" s="521"/>
      <c r="X138" s="53"/>
      <c r="Y138" s="518"/>
      <c r="Z138" s="519"/>
      <c r="AA138" s="520">
        <v>0</v>
      </c>
      <c r="AB138" s="521"/>
      <c r="AC138" s="53"/>
      <c r="AD138" s="518"/>
      <c r="AE138" s="519"/>
      <c r="AF138" s="520">
        <v>0</v>
      </c>
      <c r="AG138" s="521"/>
      <c r="AH138" s="53"/>
      <c r="AI138" s="518"/>
      <c r="AJ138" s="519"/>
      <c r="AK138" s="520">
        <v>0</v>
      </c>
      <c r="AL138" s="521"/>
      <c r="AM138" s="53"/>
      <c r="AN138" s="518"/>
      <c r="AO138" s="519"/>
      <c r="AP138" s="520">
        <v>0</v>
      </c>
      <c r="AQ138" s="521"/>
      <c r="AR138" s="53"/>
      <c r="AS138" s="518"/>
      <c r="AT138" s="519"/>
      <c r="AU138" s="520">
        <v>0</v>
      </c>
      <c r="AV138" s="521"/>
      <c r="AW138" s="53"/>
      <c r="AX138" s="518"/>
      <c r="AY138" s="519"/>
      <c r="AZ138" s="520">
        <v>0</v>
      </c>
      <c r="BA138" s="521"/>
      <c r="BB138" s="53"/>
      <c r="BC138" s="518"/>
      <c r="BD138" s="519"/>
      <c r="BE138" s="520">
        <v>0</v>
      </c>
      <c r="BF138" s="521"/>
      <c r="BG138" s="53"/>
      <c r="BH138" s="518"/>
      <c r="BI138" s="519"/>
      <c r="BJ138" s="520">
        <v>0</v>
      </c>
      <c r="BK138" s="521"/>
      <c r="BL138" s="53"/>
      <c r="BM138" s="518"/>
      <c r="BN138" s="519"/>
      <c r="BO138" s="520">
        <v>0</v>
      </c>
      <c r="BP138" s="521"/>
      <c r="BQ138" s="53"/>
      <c r="BR138" s="518"/>
      <c r="BS138" s="519"/>
      <c r="BT138" s="520">
        <f>SUM(L138:BO138)</f>
        <v>1396181</v>
      </c>
      <c r="BU138" s="521"/>
      <c r="BV138" s="53"/>
      <c r="BW138" s="465"/>
      <c r="BZ138" s="410"/>
      <c r="CA138" s="410"/>
    </row>
    <row r="139" spans="1:79" ht="12.75" customHeight="1" x14ac:dyDescent="0.2">
      <c r="A139" s="377"/>
      <c r="B139" s="377"/>
      <c r="D139" s="465" t="s">
        <v>380</v>
      </c>
      <c r="E139" s="518"/>
      <c r="F139" s="417"/>
      <c r="G139" s="53">
        <v>0</v>
      </c>
      <c r="H139" s="52"/>
      <c r="I139" s="53"/>
      <c r="J139" s="518"/>
      <c r="K139" s="417"/>
      <c r="L139" s="53">
        <v>18467</v>
      </c>
      <c r="M139" s="52"/>
      <c r="N139" s="53"/>
      <c r="O139" s="518"/>
      <c r="P139" s="518"/>
      <c r="Q139" s="53">
        <v>0</v>
      </c>
      <c r="R139" s="52"/>
      <c r="S139" s="53"/>
      <c r="T139" s="518"/>
      <c r="U139" s="518"/>
      <c r="V139" s="53">
        <v>0</v>
      </c>
      <c r="W139" s="52"/>
      <c r="X139" s="53"/>
      <c r="Y139" s="518"/>
      <c r="Z139" s="518"/>
      <c r="AA139" s="53">
        <v>0</v>
      </c>
      <c r="AB139" s="52"/>
      <c r="AC139" s="53"/>
      <c r="AD139" s="518"/>
      <c r="AE139" s="518"/>
      <c r="AF139" s="53">
        <v>0</v>
      </c>
      <c r="AG139" s="52"/>
      <c r="AH139" s="53"/>
      <c r="AI139" s="518"/>
      <c r="AJ139" s="518"/>
      <c r="AK139" s="53">
        <v>0</v>
      </c>
      <c r="AL139" s="52"/>
      <c r="AM139" s="53"/>
      <c r="AN139" s="518"/>
      <c r="AO139" s="518"/>
      <c r="AP139" s="53">
        <v>0</v>
      </c>
      <c r="AQ139" s="52"/>
      <c r="AR139" s="53"/>
      <c r="AS139" s="518"/>
      <c r="AT139" s="518"/>
      <c r="AU139" s="53">
        <v>0</v>
      </c>
      <c r="AV139" s="52"/>
      <c r="AW139" s="53"/>
      <c r="AX139" s="518"/>
      <c r="AY139" s="518"/>
      <c r="AZ139" s="53">
        <v>0</v>
      </c>
      <c r="BA139" s="52"/>
      <c r="BB139" s="53"/>
      <c r="BC139" s="518"/>
      <c r="BD139" s="518"/>
      <c r="BE139" s="53">
        <v>0</v>
      </c>
      <c r="BF139" s="52"/>
      <c r="BG139" s="53"/>
      <c r="BH139" s="518"/>
      <c r="BI139" s="518"/>
      <c r="BJ139" s="53">
        <v>0</v>
      </c>
      <c r="BK139" s="52"/>
      <c r="BL139" s="53"/>
      <c r="BM139" s="518"/>
      <c r="BN139" s="518"/>
      <c r="BO139" s="53">
        <v>0</v>
      </c>
      <c r="BP139" s="52"/>
      <c r="BQ139" s="53"/>
      <c r="BR139" s="518"/>
      <c r="BS139" s="518"/>
      <c r="BT139" s="53">
        <f>SUM(L139:BO139)</f>
        <v>18467</v>
      </c>
      <c r="BU139" s="52"/>
      <c r="BV139" s="53"/>
      <c r="BW139" s="465"/>
      <c r="BZ139" s="410"/>
      <c r="CA139" s="410"/>
    </row>
    <row r="140" spans="1:79" ht="12.75" customHeight="1" x14ac:dyDescent="0.2">
      <c r="A140" s="377"/>
      <c r="B140" s="377"/>
      <c r="D140" s="465" t="s">
        <v>381</v>
      </c>
      <c r="E140" s="518"/>
      <c r="F140" s="417"/>
      <c r="G140" s="53">
        <v>0</v>
      </c>
      <c r="H140" s="52"/>
      <c r="I140" s="53"/>
      <c r="J140" s="518"/>
      <c r="K140" s="417"/>
      <c r="L140" s="53">
        <v>-4648</v>
      </c>
      <c r="M140" s="52"/>
      <c r="N140" s="53"/>
      <c r="O140" s="518"/>
      <c r="P140" s="518"/>
      <c r="Q140" s="53">
        <v>0</v>
      </c>
      <c r="R140" s="52"/>
      <c r="S140" s="53"/>
      <c r="T140" s="518"/>
      <c r="U140" s="518"/>
      <c r="V140" s="53">
        <v>0</v>
      </c>
      <c r="W140" s="52"/>
      <c r="X140" s="53"/>
      <c r="Y140" s="518"/>
      <c r="Z140" s="518"/>
      <c r="AA140" s="53">
        <v>0</v>
      </c>
      <c r="AB140" s="52"/>
      <c r="AC140" s="53"/>
      <c r="AD140" s="518"/>
      <c r="AE140" s="518"/>
      <c r="AF140" s="53">
        <v>0</v>
      </c>
      <c r="AG140" s="52"/>
      <c r="AH140" s="53"/>
      <c r="AI140" s="518"/>
      <c r="AJ140" s="518"/>
      <c r="AK140" s="53">
        <v>0</v>
      </c>
      <c r="AL140" s="52"/>
      <c r="AM140" s="53"/>
      <c r="AN140" s="518"/>
      <c r="AO140" s="518"/>
      <c r="AP140" s="53">
        <v>0</v>
      </c>
      <c r="AQ140" s="52"/>
      <c r="AR140" s="53"/>
      <c r="AS140" s="518"/>
      <c r="AT140" s="518"/>
      <c r="AU140" s="53">
        <v>0</v>
      </c>
      <c r="AV140" s="52"/>
      <c r="AW140" s="53"/>
      <c r="AX140" s="518"/>
      <c r="AY140" s="518"/>
      <c r="AZ140" s="53">
        <v>0</v>
      </c>
      <c r="BA140" s="52"/>
      <c r="BB140" s="53"/>
      <c r="BC140" s="518"/>
      <c r="BD140" s="518"/>
      <c r="BE140" s="53">
        <v>0</v>
      </c>
      <c r="BF140" s="52"/>
      <c r="BG140" s="53"/>
      <c r="BH140" s="518"/>
      <c r="BI140" s="518"/>
      <c r="BJ140" s="53">
        <v>0</v>
      </c>
      <c r="BK140" s="52"/>
      <c r="BL140" s="53"/>
      <c r="BM140" s="518"/>
      <c r="BN140" s="518"/>
      <c r="BO140" s="53">
        <v>0</v>
      </c>
      <c r="BP140" s="52"/>
      <c r="BQ140" s="53"/>
      <c r="BR140" s="518"/>
      <c r="BS140" s="518"/>
      <c r="BT140" s="53">
        <f>SUM(L140:BO140)</f>
        <v>-4648</v>
      </c>
      <c r="BU140" s="52"/>
      <c r="BV140" s="53"/>
      <c r="BW140" s="465"/>
      <c r="BZ140" s="410"/>
      <c r="CA140" s="410"/>
    </row>
    <row r="141" spans="1:79" ht="12.75" customHeight="1" x14ac:dyDescent="0.2">
      <c r="A141" s="377"/>
      <c r="B141" s="377"/>
      <c r="D141" s="465" t="s">
        <v>382</v>
      </c>
      <c r="F141" s="478"/>
      <c r="G141" s="102">
        <v>0</v>
      </c>
      <c r="H141" s="101"/>
      <c r="I141" s="53"/>
      <c r="J141" s="518"/>
      <c r="K141" s="478"/>
      <c r="L141" s="102">
        <v>881175</v>
      </c>
      <c r="M141" s="101"/>
      <c r="N141" s="53"/>
      <c r="O141" s="518"/>
      <c r="P141" s="522"/>
      <c r="Q141" s="102">
        <v>0</v>
      </c>
      <c r="R141" s="101"/>
      <c r="S141" s="53"/>
      <c r="T141" s="518"/>
      <c r="U141" s="522"/>
      <c r="V141" s="102">
        <v>0</v>
      </c>
      <c r="W141" s="101"/>
      <c r="X141" s="53"/>
      <c r="Y141" s="518"/>
      <c r="Z141" s="522"/>
      <c r="AA141" s="102">
        <v>0</v>
      </c>
      <c r="AB141" s="101"/>
      <c r="AC141" s="53"/>
      <c r="AD141" s="518"/>
      <c r="AE141" s="522"/>
      <c r="AF141" s="102">
        <v>0</v>
      </c>
      <c r="AG141" s="101"/>
      <c r="AH141" s="53"/>
      <c r="AI141" s="518"/>
      <c r="AJ141" s="522"/>
      <c r="AK141" s="102">
        <v>0</v>
      </c>
      <c r="AL141" s="101"/>
      <c r="AM141" s="53"/>
      <c r="AN141" s="518"/>
      <c r="AO141" s="522"/>
      <c r="AP141" s="102">
        <v>0</v>
      </c>
      <c r="AQ141" s="101"/>
      <c r="AR141" s="53"/>
      <c r="AS141" s="518"/>
      <c r="AT141" s="522"/>
      <c r="AU141" s="102">
        <v>0</v>
      </c>
      <c r="AV141" s="101"/>
      <c r="AW141" s="53"/>
      <c r="AX141" s="518"/>
      <c r="AY141" s="522"/>
      <c r="AZ141" s="102">
        <v>0</v>
      </c>
      <c r="BA141" s="101"/>
      <c r="BB141" s="53"/>
      <c r="BC141" s="518"/>
      <c r="BD141" s="522"/>
      <c r="BE141" s="102">
        <v>0</v>
      </c>
      <c r="BF141" s="101"/>
      <c r="BG141" s="53"/>
      <c r="BH141" s="518"/>
      <c r="BI141" s="522"/>
      <c r="BJ141" s="102">
        <v>0</v>
      </c>
      <c r="BK141" s="101"/>
      <c r="BL141" s="53"/>
      <c r="BM141" s="518"/>
      <c r="BN141" s="522"/>
      <c r="BO141" s="102">
        <v>0</v>
      </c>
      <c r="BP141" s="101"/>
      <c r="BQ141" s="53"/>
      <c r="BR141" s="518"/>
      <c r="BS141" s="522"/>
      <c r="BT141" s="102">
        <f>SUM(L141:BO141)</f>
        <v>881175</v>
      </c>
      <c r="BU141" s="101"/>
      <c r="BV141" s="53"/>
      <c r="BW141" s="465"/>
      <c r="BZ141" s="410"/>
      <c r="CA141" s="410"/>
    </row>
    <row r="142" spans="1:79" ht="12.75" hidden="1" customHeight="1" x14ac:dyDescent="0.2">
      <c r="A142" s="377"/>
      <c r="B142" s="377"/>
      <c r="D142" s="465"/>
      <c r="F142" s="377"/>
      <c r="G142" s="53"/>
      <c r="H142" s="53"/>
      <c r="I142" s="53"/>
      <c r="J142" s="518"/>
      <c r="K142" s="53"/>
      <c r="L142" s="53"/>
      <c r="M142" s="53"/>
      <c r="N142" s="53"/>
      <c r="O142" s="518"/>
      <c r="P142" s="53"/>
      <c r="Q142" s="53"/>
      <c r="R142" s="53"/>
      <c r="S142" s="53"/>
      <c r="T142" s="518"/>
      <c r="U142" s="53"/>
      <c r="V142" s="53"/>
      <c r="W142" s="53"/>
      <c r="X142" s="53"/>
      <c r="Y142" s="518"/>
      <c r="Z142" s="53"/>
      <c r="AA142" s="53"/>
      <c r="AB142" s="53"/>
      <c r="AC142" s="53"/>
      <c r="AD142" s="518"/>
      <c r="AE142" s="53"/>
      <c r="AF142" s="53"/>
      <c r="AG142" s="53"/>
      <c r="AH142" s="53"/>
      <c r="AI142" s="518"/>
      <c r="AJ142" s="53"/>
      <c r="AK142" s="53"/>
      <c r="AL142" s="53"/>
      <c r="AM142" s="53"/>
      <c r="AN142" s="518"/>
      <c r="AO142" s="53"/>
      <c r="AP142" s="53"/>
      <c r="AQ142" s="53"/>
      <c r="AR142" s="53"/>
      <c r="AS142" s="518"/>
      <c r="AT142" s="53"/>
      <c r="AU142" s="53"/>
      <c r="AV142" s="53"/>
      <c r="AW142" s="53"/>
      <c r="AX142" s="518"/>
      <c r="AY142" s="53"/>
      <c r="AZ142" s="53"/>
      <c r="BA142" s="53"/>
      <c r="BB142" s="53"/>
      <c r="BC142" s="518"/>
      <c r="BD142" s="53"/>
      <c r="BE142" s="53"/>
      <c r="BF142" s="53"/>
      <c r="BG142" s="53"/>
      <c r="BH142" s="518"/>
      <c r="BI142" s="53"/>
      <c r="BJ142" s="53"/>
      <c r="BK142" s="53"/>
      <c r="BL142" s="53"/>
      <c r="BM142" s="518"/>
      <c r="BN142" s="53"/>
      <c r="BO142" s="53"/>
      <c r="BP142" s="53"/>
      <c r="BQ142" s="53"/>
      <c r="BR142" s="518"/>
      <c r="BS142" s="53"/>
      <c r="BT142" s="53"/>
      <c r="BU142" s="53"/>
      <c r="BV142" s="53"/>
      <c r="BW142" s="465"/>
      <c r="BZ142" s="410"/>
      <c r="CA142" s="410"/>
    </row>
    <row r="143" spans="1:79" ht="12.75" hidden="1" customHeight="1" x14ac:dyDescent="0.2">
      <c r="A143" s="377"/>
      <c r="B143" s="377"/>
      <c r="D143" s="465" t="s">
        <v>404</v>
      </c>
      <c r="F143" s="377"/>
      <c r="G143" s="53">
        <f>SUM(G144:G146)</f>
        <v>0</v>
      </c>
      <c r="H143" s="53"/>
      <c r="I143" s="53"/>
      <c r="J143" s="518"/>
      <c r="K143" s="53"/>
      <c r="L143" s="53">
        <f>SUM(L144:L146)</f>
        <v>0</v>
      </c>
      <c r="M143" s="53"/>
      <c r="N143" s="53"/>
      <c r="O143" s="518"/>
      <c r="P143" s="53"/>
      <c r="Q143" s="53">
        <f>SUM(Q144:Q146)</f>
        <v>0</v>
      </c>
      <c r="R143" s="53"/>
      <c r="S143" s="53"/>
      <c r="T143" s="518"/>
      <c r="U143" s="53"/>
      <c r="V143" s="53">
        <f>SUM(V144:V146)</f>
        <v>0</v>
      </c>
      <c r="W143" s="53"/>
      <c r="X143" s="53"/>
      <c r="Y143" s="518"/>
      <c r="Z143" s="53"/>
      <c r="AA143" s="53">
        <f>SUM(AA144:AA146)</f>
        <v>0</v>
      </c>
      <c r="AB143" s="53"/>
      <c r="AC143" s="53"/>
      <c r="AD143" s="518"/>
      <c r="AE143" s="53"/>
      <c r="AF143" s="53">
        <f>SUM(AF144:AF146)</f>
        <v>0</v>
      </c>
      <c r="AG143" s="53"/>
      <c r="AH143" s="53"/>
      <c r="AI143" s="518"/>
      <c r="AJ143" s="53"/>
      <c r="AK143" s="53">
        <f>SUM(AK144:AK146)</f>
        <v>0</v>
      </c>
      <c r="AL143" s="53"/>
      <c r="AM143" s="53"/>
      <c r="AN143" s="518"/>
      <c r="AO143" s="53"/>
      <c r="AP143" s="53">
        <f>SUM(AP144:AP146)</f>
        <v>0</v>
      </c>
      <c r="AQ143" s="53"/>
      <c r="AR143" s="53"/>
      <c r="AS143" s="518"/>
      <c r="AT143" s="53"/>
      <c r="AU143" s="53">
        <f>SUM(AU144:AU146)</f>
        <v>0</v>
      </c>
      <c r="AV143" s="53"/>
      <c r="AW143" s="53"/>
      <c r="AX143" s="518"/>
      <c r="AY143" s="53"/>
      <c r="AZ143" s="53">
        <f>SUM(AZ144:AZ146)</f>
        <v>0</v>
      </c>
      <c r="BA143" s="53"/>
      <c r="BB143" s="53"/>
      <c r="BC143" s="518"/>
      <c r="BD143" s="53"/>
      <c r="BE143" s="53">
        <f>SUM(BE144:BE146)</f>
        <v>0</v>
      </c>
      <c r="BF143" s="53"/>
      <c r="BG143" s="53"/>
      <c r="BH143" s="518"/>
      <c r="BI143" s="53"/>
      <c r="BJ143" s="53">
        <f>SUM(BJ144:BJ146)</f>
        <v>0</v>
      </c>
      <c r="BK143" s="53"/>
      <c r="BL143" s="53"/>
      <c r="BM143" s="518"/>
      <c r="BN143" s="53"/>
      <c r="BO143" s="53">
        <f>SUM(BO144:BO146)</f>
        <v>0</v>
      </c>
      <c r="BP143" s="53"/>
      <c r="BQ143" s="53"/>
      <c r="BR143" s="518"/>
      <c r="BS143" s="53"/>
      <c r="BT143" s="53">
        <f>SUM(BT144:BT146)</f>
        <v>0</v>
      </c>
      <c r="BU143" s="53"/>
      <c r="BV143" s="53"/>
      <c r="BW143" s="465"/>
      <c r="BZ143" s="410"/>
      <c r="CA143" s="410"/>
    </row>
    <row r="144" spans="1:79" ht="12.75" hidden="1" customHeight="1" x14ac:dyDescent="0.2">
      <c r="A144" s="377"/>
      <c r="B144" s="377"/>
      <c r="D144" s="465" t="s">
        <v>378</v>
      </c>
      <c r="F144" s="469"/>
      <c r="G144" s="520">
        <v>0</v>
      </c>
      <c r="H144" s="521"/>
      <c r="I144" s="53"/>
      <c r="J144" s="518"/>
      <c r="K144" s="469"/>
      <c r="L144" s="520">
        <v>0</v>
      </c>
      <c r="M144" s="521"/>
      <c r="N144" s="53"/>
      <c r="O144" s="518"/>
      <c r="P144" s="469"/>
      <c r="Q144" s="520">
        <v>0</v>
      </c>
      <c r="R144" s="521"/>
      <c r="S144" s="53"/>
      <c r="T144" s="518"/>
      <c r="U144" s="469"/>
      <c r="V144" s="520">
        <v>0</v>
      </c>
      <c r="W144" s="521"/>
      <c r="X144" s="53"/>
      <c r="Y144" s="518"/>
      <c r="Z144" s="469"/>
      <c r="AA144" s="520">
        <v>0</v>
      </c>
      <c r="AB144" s="521"/>
      <c r="AC144" s="53"/>
      <c r="AD144" s="518"/>
      <c r="AE144" s="469"/>
      <c r="AF144" s="520">
        <v>0</v>
      </c>
      <c r="AG144" s="521"/>
      <c r="AH144" s="53"/>
      <c r="AI144" s="518"/>
      <c r="AJ144" s="469"/>
      <c r="AK144" s="520">
        <v>0</v>
      </c>
      <c r="AL144" s="521"/>
      <c r="AM144" s="53"/>
      <c r="AN144" s="518"/>
      <c r="AO144" s="469"/>
      <c r="AP144" s="520">
        <v>0</v>
      </c>
      <c r="AQ144" s="521"/>
      <c r="AR144" s="53"/>
      <c r="AS144" s="518"/>
      <c r="AT144" s="519"/>
      <c r="AU144" s="520">
        <v>0</v>
      </c>
      <c r="AV144" s="521"/>
      <c r="AW144" s="53"/>
      <c r="AX144" s="518"/>
      <c r="AY144" s="519"/>
      <c r="AZ144" s="520">
        <v>0</v>
      </c>
      <c r="BA144" s="521"/>
      <c r="BB144" s="53"/>
      <c r="BC144" s="518"/>
      <c r="BD144" s="519"/>
      <c r="BE144" s="520">
        <v>0</v>
      </c>
      <c r="BF144" s="521"/>
      <c r="BG144" s="53"/>
      <c r="BH144" s="518"/>
      <c r="BI144" s="519"/>
      <c r="BJ144" s="520">
        <v>0</v>
      </c>
      <c r="BK144" s="521"/>
      <c r="BL144" s="53"/>
      <c r="BM144" s="518"/>
      <c r="BN144" s="519"/>
      <c r="BO144" s="520">
        <v>0</v>
      </c>
      <c r="BP144" s="521"/>
      <c r="BQ144" s="53"/>
      <c r="BR144" s="518"/>
      <c r="BS144" s="519"/>
      <c r="BT144" s="520">
        <f>SUM(L144:BO144)</f>
        <v>0</v>
      </c>
      <c r="BU144" s="521"/>
      <c r="BV144" s="53"/>
      <c r="BW144" s="465"/>
      <c r="BZ144" s="410"/>
      <c r="CA144" s="410"/>
    </row>
    <row r="145" spans="1:79" ht="12.75" hidden="1" customHeight="1" x14ac:dyDescent="0.2">
      <c r="A145" s="377"/>
      <c r="B145" s="377"/>
      <c r="D145" s="465" t="s">
        <v>380</v>
      </c>
      <c r="F145" s="417"/>
      <c r="G145" s="53">
        <v>0</v>
      </c>
      <c r="H145" s="52"/>
      <c r="I145" s="53"/>
      <c r="J145" s="518"/>
      <c r="K145" s="417"/>
      <c r="L145" s="53">
        <v>0</v>
      </c>
      <c r="M145" s="52"/>
      <c r="N145" s="53"/>
      <c r="O145" s="518"/>
      <c r="P145" s="417"/>
      <c r="Q145" s="53">
        <v>0</v>
      </c>
      <c r="R145" s="52"/>
      <c r="S145" s="53"/>
      <c r="T145" s="518"/>
      <c r="U145" s="417"/>
      <c r="V145" s="53">
        <v>0</v>
      </c>
      <c r="W145" s="52"/>
      <c r="X145" s="53"/>
      <c r="Y145" s="518"/>
      <c r="Z145" s="417"/>
      <c r="AA145" s="53">
        <v>0</v>
      </c>
      <c r="AB145" s="52"/>
      <c r="AC145" s="53"/>
      <c r="AD145" s="518"/>
      <c r="AE145" s="417"/>
      <c r="AF145" s="53">
        <v>0</v>
      </c>
      <c r="AG145" s="52"/>
      <c r="AH145" s="53"/>
      <c r="AI145" s="518"/>
      <c r="AJ145" s="417"/>
      <c r="AK145" s="53">
        <v>0</v>
      </c>
      <c r="AL145" s="52"/>
      <c r="AM145" s="53"/>
      <c r="AN145" s="518"/>
      <c r="AO145" s="417"/>
      <c r="AP145" s="53">
        <v>0</v>
      </c>
      <c r="AQ145" s="52"/>
      <c r="AR145" s="53"/>
      <c r="AS145" s="518"/>
      <c r="AT145" s="518"/>
      <c r="AU145" s="53">
        <v>0</v>
      </c>
      <c r="AV145" s="52"/>
      <c r="AW145" s="53"/>
      <c r="AX145" s="518"/>
      <c r="AY145" s="518"/>
      <c r="AZ145" s="53">
        <v>0</v>
      </c>
      <c r="BA145" s="52"/>
      <c r="BB145" s="53"/>
      <c r="BC145" s="518"/>
      <c r="BD145" s="518"/>
      <c r="BE145" s="53">
        <v>0</v>
      </c>
      <c r="BF145" s="52"/>
      <c r="BG145" s="53"/>
      <c r="BH145" s="518"/>
      <c r="BI145" s="518"/>
      <c r="BJ145" s="53">
        <v>0</v>
      </c>
      <c r="BK145" s="52"/>
      <c r="BL145" s="53"/>
      <c r="BM145" s="518"/>
      <c r="BN145" s="518"/>
      <c r="BO145" s="53">
        <v>0</v>
      </c>
      <c r="BP145" s="52"/>
      <c r="BQ145" s="53"/>
      <c r="BR145" s="518"/>
      <c r="BS145" s="518"/>
      <c r="BT145" s="53">
        <f>SUM(L145:BO145)</f>
        <v>0</v>
      </c>
      <c r="BU145" s="52"/>
      <c r="BV145" s="53"/>
      <c r="BW145" s="465"/>
      <c r="BZ145" s="410"/>
      <c r="CA145" s="410"/>
    </row>
    <row r="146" spans="1:79" ht="12.75" hidden="1" customHeight="1" x14ac:dyDescent="0.2">
      <c r="A146" s="377"/>
      <c r="B146" s="377"/>
      <c r="D146" s="465" t="s">
        <v>381</v>
      </c>
      <c r="F146" s="478"/>
      <c r="G146" s="102">
        <v>0</v>
      </c>
      <c r="H146" s="101"/>
      <c r="I146" s="53"/>
      <c r="J146" s="518"/>
      <c r="K146" s="478"/>
      <c r="L146" s="102">
        <v>0</v>
      </c>
      <c r="M146" s="101"/>
      <c r="N146" s="53"/>
      <c r="O146" s="518"/>
      <c r="P146" s="478"/>
      <c r="Q146" s="102">
        <v>0</v>
      </c>
      <c r="R146" s="101"/>
      <c r="S146" s="53"/>
      <c r="T146" s="518"/>
      <c r="U146" s="478"/>
      <c r="V146" s="102">
        <v>0</v>
      </c>
      <c r="W146" s="101"/>
      <c r="X146" s="53"/>
      <c r="Y146" s="518"/>
      <c r="Z146" s="478"/>
      <c r="AA146" s="102">
        <v>0</v>
      </c>
      <c r="AB146" s="101"/>
      <c r="AC146" s="53"/>
      <c r="AD146" s="518"/>
      <c r="AE146" s="478"/>
      <c r="AF146" s="102">
        <v>0</v>
      </c>
      <c r="AG146" s="101"/>
      <c r="AH146" s="53"/>
      <c r="AI146" s="518"/>
      <c r="AJ146" s="478"/>
      <c r="AK146" s="102">
        <v>0</v>
      </c>
      <c r="AL146" s="101"/>
      <c r="AM146" s="53"/>
      <c r="AN146" s="518"/>
      <c r="AO146" s="478"/>
      <c r="AP146" s="102">
        <v>0</v>
      </c>
      <c r="AQ146" s="101"/>
      <c r="AR146" s="53"/>
      <c r="AS146" s="518"/>
      <c r="AT146" s="522"/>
      <c r="AU146" s="102">
        <v>0</v>
      </c>
      <c r="AV146" s="101"/>
      <c r="AW146" s="53"/>
      <c r="AX146" s="518"/>
      <c r="AY146" s="522"/>
      <c r="AZ146" s="102">
        <v>0</v>
      </c>
      <c r="BA146" s="101"/>
      <c r="BB146" s="53"/>
      <c r="BC146" s="518"/>
      <c r="BD146" s="522"/>
      <c r="BE146" s="102">
        <v>0</v>
      </c>
      <c r="BF146" s="101"/>
      <c r="BG146" s="53"/>
      <c r="BH146" s="518"/>
      <c r="BI146" s="522"/>
      <c r="BJ146" s="102">
        <v>0</v>
      </c>
      <c r="BK146" s="101"/>
      <c r="BL146" s="53"/>
      <c r="BM146" s="518"/>
      <c r="BN146" s="522"/>
      <c r="BO146" s="102">
        <v>0</v>
      </c>
      <c r="BP146" s="101"/>
      <c r="BQ146" s="53"/>
      <c r="BR146" s="518"/>
      <c r="BS146" s="522"/>
      <c r="BT146" s="102">
        <f>SUM(L146:BO146)</f>
        <v>0</v>
      </c>
      <c r="BU146" s="101"/>
      <c r="BV146" s="53"/>
      <c r="BW146" s="465"/>
      <c r="BZ146" s="410"/>
      <c r="CA146" s="410"/>
    </row>
    <row r="147" spans="1:79" ht="8.25" hidden="1" customHeight="1" x14ac:dyDescent="0.2">
      <c r="A147" s="377"/>
      <c r="B147" s="377"/>
      <c r="D147" s="465"/>
      <c r="F147" s="377"/>
      <c r="G147" s="53"/>
      <c r="H147" s="53"/>
      <c r="I147" s="53"/>
      <c r="J147" s="518"/>
      <c r="K147" s="53"/>
      <c r="L147" s="53"/>
      <c r="M147" s="53"/>
      <c r="N147" s="53"/>
      <c r="O147" s="518"/>
      <c r="P147" s="53"/>
      <c r="Q147" s="53"/>
      <c r="R147" s="53"/>
      <c r="S147" s="53"/>
      <c r="T147" s="518"/>
      <c r="U147" s="53"/>
      <c r="V147" s="53"/>
      <c r="W147" s="53"/>
      <c r="X147" s="53"/>
      <c r="Y147" s="518"/>
      <c r="Z147" s="53"/>
      <c r="AA147" s="53"/>
      <c r="AB147" s="53"/>
      <c r="AC147" s="53"/>
      <c r="AD147" s="518"/>
      <c r="AE147" s="53"/>
      <c r="AF147" s="53"/>
      <c r="AG147" s="53"/>
      <c r="AH147" s="53"/>
      <c r="AI147" s="518"/>
      <c r="AJ147" s="53"/>
      <c r="AK147" s="53"/>
      <c r="AL147" s="53"/>
      <c r="AM147" s="53"/>
      <c r="AN147" s="518"/>
      <c r="AO147" s="53"/>
      <c r="AP147" s="53"/>
      <c r="AQ147" s="53"/>
      <c r="AR147" s="53"/>
      <c r="AS147" s="518"/>
      <c r="AT147" s="53"/>
      <c r="AU147" s="53"/>
      <c r="AV147" s="53"/>
      <c r="AW147" s="53"/>
      <c r="AX147" s="518"/>
      <c r="AY147" s="53"/>
      <c r="AZ147" s="53"/>
      <c r="BA147" s="53"/>
      <c r="BB147" s="53"/>
      <c r="BC147" s="518"/>
      <c r="BD147" s="53"/>
      <c r="BE147" s="53"/>
      <c r="BF147" s="53"/>
      <c r="BG147" s="53"/>
      <c r="BH147" s="518"/>
      <c r="BI147" s="53"/>
      <c r="BJ147" s="53"/>
      <c r="BK147" s="53"/>
      <c r="BL147" s="53"/>
      <c r="BM147" s="518"/>
      <c r="BN147" s="53"/>
      <c r="BO147" s="53"/>
      <c r="BP147" s="53"/>
      <c r="BQ147" s="53"/>
      <c r="BR147" s="518"/>
      <c r="BS147" s="53"/>
      <c r="BT147" s="53"/>
      <c r="BU147" s="53"/>
      <c r="BV147" s="53"/>
      <c r="BW147" s="465"/>
      <c r="BZ147" s="410"/>
      <c r="CA147" s="410"/>
    </row>
    <row r="148" spans="1:79" ht="12.75" hidden="1" customHeight="1" x14ac:dyDescent="0.2">
      <c r="A148" s="377"/>
      <c r="B148" s="377"/>
      <c r="D148" s="465" t="s">
        <v>405</v>
      </c>
      <c r="F148" s="377"/>
      <c r="G148" s="53">
        <f>SUM(G149:G151)</f>
        <v>0</v>
      </c>
      <c r="H148" s="53"/>
      <c r="I148" s="53"/>
      <c r="J148" s="518"/>
      <c r="K148" s="53"/>
      <c r="L148" s="53">
        <f>SUM(L149:L151)</f>
        <v>0</v>
      </c>
      <c r="M148" s="53"/>
      <c r="N148" s="53"/>
      <c r="O148" s="518"/>
      <c r="P148" s="53"/>
      <c r="Q148" s="53">
        <f>SUM(Q149:Q151)</f>
        <v>0</v>
      </c>
      <c r="R148" s="53"/>
      <c r="S148" s="53"/>
      <c r="T148" s="518"/>
      <c r="U148" s="53"/>
      <c r="V148" s="53">
        <f>SUM(V149:V151)</f>
        <v>0</v>
      </c>
      <c r="W148" s="53"/>
      <c r="X148" s="53"/>
      <c r="Y148" s="518"/>
      <c r="Z148" s="53"/>
      <c r="AA148" s="53">
        <f>SUM(AA149:AA151)</f>
        <v>0</v>
      </c>
      <c r="AB148" s="53"/>
      <c r="AC148" s="53"/>
      <c r="AD148" s="518"/>
      <c r="AE148" s="53"/>
      <c r="AF148" s="53">
        <f>SUM(AF149:AF151)</f>
        <v>0</v>
      </c>
      <c r="AG148" s="53"/>
      <c r="AH148" s="53"/>
      <c r="AI148" s="518"/>
      <c r="AJ148" s="53"/>
      <c r="AK148" s="53">
        <f>SUM(AK149:AK151)</f>
        <v>0</v>
      </c>
      <c r="AL148" s="53"/>
      <c r="AM148" s="53"/>
      <c r="AN148" s="518"/>
      <c r="AO148" s="53"/>
      <c r="AP148" s="53">
        <f>SUM(AP149:AP151)</f>
        <v>0</v>
      </c>
      <c r="AQ148" s="53"/>
      <c r="AR148" s="53"/>
      <c r="AS148" s="518"/>
      <c r="AT148" s="53"/>
      <c r="AU148" s="53">
        <f>SUM(AU149:AU151)</f>
        <v>0</v>
      </c>
      <c r="AV148" s="53"/>
      <c r="AW148" s="53"/>
      <c r="AX148" s="518"/>
      <c r="AY148" s="53"/>
      <c r="AZ148" s="53">
        <f>SUM(AZ149:AZ151)</f>
        <v>0</v>
      </c>
      <c r="BA148" s="53"/>
      <c r="BB148" s="53"/>
      <c r="BC148" s="518"/>
      <c r="BD148" s="53"/>
      <c r="BE148" s="53">
        <f>SUM(BE149:BE151)</f>
        <v>0</v>
      </c>
      <c r="BF148" s="53"/>
      <c r="BG148" s="53"/>
      <c r="BH148" s="518"/>
      <c r="BI148" s="53"/>
      <c r="BJ148" s="53">
        <f>SUM(BJ149:BJ151)</f>
        <v>0</v>
      </c>
      <c r="BK148" s="53"/>
      <c r="BL148" s="53"/>
      <c r="BM148" s="518"/>
      <c r="BN148" s="53"/>
      <c r="BO148" s="53">
        <f>SUM(BO149:BO151)</f>
        <v>0</v>
      </c>
      <c r="BP148" s="53"/>
      <c r="BQ148" s="53"/>
      <c r="BR148" s="518"/>
      <c r="BS148" s="53"/>
      <c r="BT148" s="53">
        <f>SUM(BT149:BT151)</f>
        <v>0</v>
      </c>
      <c r="BU148" s="53"/>
      <c r="BV148" s="53"/>
      <c r="BW148" s="465"/>
      <c r="BZ148" s="410"/>
      <c r="CA148" s="410"/>
    </row>
    <row r="149" spans="1:79" ht="12.75" hidden="1" customHeight="1" x14ac:dyDescent="0.2">
      <c r="A149" s="377"/>
      <c r="B149" s="377"/>
      <c r="D149" s="465" t="s">
        <v>378</v>
      </c>
      <c r="F149" s="469"/>
      <c r="G149" s="520">
        <v>0</v>
      </c>
      <c r="H149" s="521"/>
      <c r="I149" s="53"/>
      <c r="J149" s="518"/>
      <c r="K149" s="519"/>
      <c r="L149" s="520">
        <v>0</v>
      </c>
      <c r="M149" s="521"/>
      <c r="N149" s="53"/>
      <c r="O149" s="518"/>
      <c r="P149" s="519"/>
      <c r="Q149" s="520">
        <v>0</v>
      </c>
      <c r="R149" s="521"/>
      <c r="S149" s="53"/>
      <c r="T149" s="518"/>
      <c r="U149" s="519"/>
      <c r="V149" s="520">
        <v>0</v>
      </c>
      <c r="W149" s="521"/>
      <c r="X149" s="53"/>
      <c r="Y149" s="518"/>
      <c r="Z149" s="519"/>
      <c r="AA149" s="520">
        <v>0</v>
      </c>
      <c r="AB149" s="521"/>
      <c r="AC149" s="53"/>
      <c r="AD149" s="518"/>
      <c r="AE149" s="519"/>
      <c r="AF149" s="520">
        <v>0</v>
      </c>
      <c r="AG149" s="521"/>
      <c r="AH149" s="53"/>
      <c r="AI149" s="518"/>
      <c r="AJ149" s="519"/>
      <c r="AK149" s="520">
        <v>0</v>
      </c>
      <c r="AL149" s="521"/>
      <c r="AM149" s="53"/>
      <c r="AN149" s="518"/>
      <c r="AO149" s="519"/>
      <c r="AP149" s="520">
        <v>0</v>
      </c>
      <c r="AQ149" s="521"/>
      <c r="AR149" s="53"/>
      <c r="AS149" s="518"/>
      <c r="AT149" s="519"/>
      <c r="AU149" s="520">
        <v>0</v>
      </c>
      <c r="AV149" s="521"/>
      <c r="AW149" s="53"/>
      <c r="AX149" s="518"/>
      <c r="AY149" s="519"/>
      <c r="AZ149" s="520">
        <v>0</v>
      </c>
      <c r="BA149" s="521"/>
      <c r="BB149" s="53"/>
      <c r="BC149" s="518"/>
      <c r="BD149" s="519"/>
      <c r="BE149" s="520">
        <v>0</v>
      </c>
      <c r="BF149" s="521"/>
      <c r="BG149" s="53"/>
      <c r="BH149" s="518"/>
      <c r="BI149" s="519"/>
      <c r="BJ149" s="520">
        <v>0</v>
      </c>
      <c r="BK149" s="521"/>
      <c r="BL149" s="53"/>
      <c r="BM149" s="518"/>
      <c r="BN149" s="519"/>
      <c r="BO149" s="520">
        <v>0</v>
      </c>
      <c r="BP149" s="521"/>
      <c r="BQ149" s="53"/>
      <c r="BR149" s="518"/>
      <c r="BS149" s="519"/>
      <c r="BT149" s="520">
        <f>SUM(L149:BO149)</f>
        <v>0</v>
      </c>
      <c r="BU149" s="521"/>
      <c r="BV149" s="53"/>
      <c r="BW149" s="465"/>
      <c r="BZ149" s="410"/>
      <c r="CA149" s="410"/>
    </row>
    <row r="150" spans="1:79" ht="12.75" hidden="1" customHeight="1" x14ac:dyDescent="0.2">
      <c r="A150" s="377"/>
      <c r="B150" s="377"/>
      <c r="D150" s="465" t="s">
        <v>380</v>
      </c>
      <c r="F150" s="417"/>
      <c r="G150" s="53">
        <v>0</v>
      </c>
      <c r="H150" s="52"/>
      <c r="I150" s="53"/>
      <c r="J150" s="518"/>
      <c r="K150" s="518"/>
      <c r="L150" s="53">
        <v>0</v>
      </c>
      <c r="M150" s="52"/>
      <c r="N150" s="53"/>
      <c r="O150" s="518"/>
      <c r="P150" s="518"/>
      <c r="Q150" s="53">
        <v>0</v>
      </c>
      <c r="R150" s="52"/>
      <c r="S150" s="53"/>
      <c r="T150" s="518"/>
      <c r="U150" s="518"/>
      <c r="V150" s="53">
        <v>0</v>
      </c>
      <c r="W150" s="52"/>
      <c r="X150" s="53"/>
      <c r="Y150" s="518"/>
      <c r="Z150" s="518"/>
      <c r="AA150" s="53">
        <v>0</v>
      </c>
      <c r="AB150" s="52"/>
      <c r="AC150" s="53"/>
      <c r="AD150" s="518"/>
      <c r="AE150" s="518"/>
      <c r="AF150" s="53">
        <v>0</v>
      </c>
      <c r="AG150" s="52"/>
      <c r="AH150" s="53"/>
      <c r="AI150" s="518"/>
      <c r="AJ150" s="518"/>
      <c r="AK150" s="53">
        <v>0</v>
      </c>
      <c r="AL150" s="52"/>
      <c r="AM150" s="53"/>
      <c r="AN150" s="518"/>
      <c r="AO150" s="518"/>
      <c r="AP150" s="53">
        <v>0</v>
      </c>
      <c r="AQ150" s="52"/>
      <c r="AR150" s="53"/>
      <c r="AS150" s="518"/>
      <c r="AT150" s="518"/>
      <c r="AU150" s="53">
        <v>0</v>
      </c>
      <c r="AV150" s="52"/>
      <c r="AW150" s="53"/>
      <c r="AX150" s="518"/>
      <c r="AY150" s="518"/>
      <c r="AZ150" s="53">
        <v>0</v>
      </c>
      <c r="BA150" s="52"/>
      <c r="BB150" s="53"/>
      <c r="BC150" s="518"/>
      <c r="BD150" s="518"/>
      <c r="BE150" s="53">
        <v>0</v>
      </c>
      <c r="BF150" s="52"/>
      <c r="BG150" s="53"/>
      <c r="BH150" s="518"/>
      <c r="BI150" s="518"/>
      <c r="BJ150" s="53">
        <v>0</v>
      </c>
      <c r="BK150" s="52"/>
      <c r="BL150" s="53"/>
      <c r="BM150" s="518"/>
      <c r="BN150" s="518"/>
      <c r="BO150" s="53">
        <v>0</v>
      </c>
      <c r="BP150" s="52"/>
      <c r="BQ150" s="53"/>
      <c r="BR150" s="518"/>
      <c r="BS150" s="518"/>
      <c r="BT150" s="53">
        <f>SUM(L150:BO150)</f>
        <v>0</v>
      </c>
      <c r="BU150" s="52"/>
      <c r="BV150" s="53"/>
      <c r="BW150" s="465"/>
      <c r="BZ150" s="410"/>
      <c r="CA150" s="410"/>
    </row>
    <row r="151" spans="1:79" ht="12.75" hidden="1" customHeight="1" x14ac:dyDescent="0.2">
      <c r="A151" s="377"/>
      <c r="B151" s="377"/>
      <c r="D151" s="465" t="s">
        <v>381</v>
      </c>
      <c r="F151" s="478"/>
      <c r="G151" s="102">
        <v>0</v>
      </c>
      <c r="H151" s="101"/>
      <c r="I151" s="53"/>
      <c r="J151" s="518"/>
      <c r="K151" s="522"/>
      <c r="L151" s="102">
        <v>0</v>
      </c>
      <c r="M151" s="101"/>
      <c r="N151" s="53"/>
      <c r="O151" s="518"/>
      <c r="P151" s="522"/>
      <c r="Q151" s="102">
        <v>0</v>
      </c>
      <c r="R151" s="101"/>
      <c r="S151" s="53"/>
      <c r="T151" s="518"/>
      <c r="U151" s="522"/>
      <c r="V151" s="102">
        <v>0</v>
      </c>
      <c r="W151" s="101"/>
      <c r="X151" s="53"/>
      <c r="Y151" s="518"/>
      <c r="Z151" s="522"/>
      <c r="AA151" s="102">
        <v>0</v>
      </c>
      <c r="AB151" s="101"/>
      <c r="AC151" s="53"/>
      <c r="AD151" s="518"/>
      <c r="AE151" s="522"/>
      <c r="AF151" s="102">
        <v>0</v>
      </c>
      <c r="AG151" s="101"/>
      <c r="AH151" s="53"/>
      <c r="AI151" s="518"/>
      <c r="AJ151" s="522"/>
      <c r="AK151" s="102">
        <v>0</v>
      </c>
      <c r="AL151" s="101"/>
      <c r="AM151" s="53"/>
      <c r="AN151" s="518"/>
      <c r="AO151" s="522"/>
      <c r="AP151" s="102">
        <v>0</v>
      </c>
      <c r="AQ151" s="101"/>
      <c r="AR151" s="53"/>
      <c r="AS151" s="518"/>
      <c r="AT151" s="522"/>
      <c r="AU151" s="102">
        <v>0</v>
      </c>
      <c r="AV151" s="101"/>
      <c r="AW151" s="53"/>
      <c r="AX151" s="518"/>
      <c r="AY151" s="522"/>
      <c r="AZ151" s="102">
        <v>0</v>
      </c>
      <c r="BA151" s="101"/>
      <c r="BB151" s="53"/>
      <c r="BC151" s="518"/>
      <c r="BD151" s="522"/>
      <c r="BE151" s="102">
        <v>0</v>
      </c>
      <c r="BF151" s="101"/>
      <c r="BG151" s="53"/>
      <c r="BH151" s="518"/>
      <c r="BI151" s="522"/>
      <c r="BJ151" s="102">
        <v>0</v>
      </c>
      <c r="BK151" s="101"/>
      <c r="BL151" s="53"/>
      <c r="BM151" s="518"/>
      <c r="BN151" s="522"/>
      <c r="BO151" s="102">
        <v>0</v>
      </c>
      <c r="BP151" s="101"/>
      <c r="BQ151" s="53"/>
      <c r="BR151" s="518"/>
      <c r="BS151" s="522"/>
      <c r="BT151" s="102">
        <f>SUM(L151:BO151)</f>
        <v>0</v>
      </c>
      <c r="BU151" s="101"/>
      <c r="BV151" s="53"/>
      <c r="BW151" s="465"/>
      <c r="BZ151" s="410"/>
      <c r="CA151" s="410"/>
    </row>
    <row r="152" spans="1:79" ht="8.25" customHeight="1" x14ac:dyDescent="0.2">
      <c r="A152" s="377"/>
      <c r="B152" s="377"/>
      <c r="D152" s="465"/>
      <c r="F152" s="377"/>
      <c r="G152" s="53"/>
      <c r="H152" s="53"/>
      <c r="I152" s="53"/>
      <c r="J152" s="518"/>
      <c r="K152" s="53"/>
      <c r="L152" s="53"/>
      <c r="M152" s="53"/>
      <c r="N152" s="53"/>
      <c r="O152" s="518"/>
      <c r="P152" s="53"/>
      <c r="Q152" s="53"/>
      <c r="R152" s="53"/>
      <c r="S152" s="53"/>
      <c r="T152" s="518"/>
      <c r="U152" s="53"/>
      <c r="V152" s="53"/>
      <c r="W152" s="53"/>
      <c r="X152" s="53"/>
      <c r="Y152" s="518"/>
      <c r="Z152" s="53"/>
      <c r="AA152" s="53"/>
      <c r="AB152" s="53"/>
      <c r="AC152" s="53"/>
      <c r="AD152" s="518"/>
      <c r="AE152" s="53"/>
      <c r="AF152" s="53"/>
      <c r="AG152" s="53"/>
      <c r="AH152" s="53"/>
      <c r="AI152" s="518"/>
      <c r="AJ152" s="53"/>
      <c r="AK152" s="53"/>
      <c r="AL152" s="53"/>
      <c r="AM152" s="53"/>
      <c r="AN152" s="518"/>
      <c r="AO152" s="53"/>
      <c r="AP152" s="53"/>
      <c r="AQ152" s="53"/>
      <c r="AR152" s="53"/>
      <c r="AS152" s="518"/>
      <c r="AT152" s="53"/>
      <c r="AU152" s="53"/>
      <c r="AV152" s="53"/>
      <c r="AW152" s="53"/>
      <c r="AX152" s="518"/>
      <c r="AY152" s="53"/>
      <c r="AZ152" s="53"/>
      <c r="BA152" s="53"/>
      <c r="BB152" s="53"/>
      <c r="BC152" s="518"/>
      <c r="BD152" s="53"/>
      <c r="BE152" s="53"/>
      <c r="BF152" s="53"/>
      <c r="BG152" s="53"/>
      <c r="BH152" s="518"/>
      <c r="BI152" s="53"/>
      <c r="BJ152" s="53"/>
      <c r="BK152" s="53"/>
      <c r="BL152" s="53"/>
      <c r="BM152" s="518"/>
      <c r="BN152" s="53"/>
      <c r="BO152" s="53"/>
      <c r="BP152" s="53"/>
      <c r="BQ152" s="53"/>
      <c r="BR152" s="518"/>
      <c r="BS152" s="53"/>
      <c r="BT152" s="53"/>
      <c r="BU152" s="53"/>
      <c r="BV152" s="53"/>
      <c r="BW152" s="465"/>
      <c r="BZ152" s="410"/>
      <c r="CA152" s="410"/>
    </row>
    <row r="153" spans="1:79" ht="12.75" customHeight="1" x14ac:dyDescent="0.2">
      <c r="A153" s="377"/>
      <c r="B153" s="377"/>
      <c r="D153" s="465" t="s">
        <v>406</v>
      </c>
      <c r="F153" s="377"/>
      <c r="G153" s="53">
        <f>SUM(G154:G156)</f>
        <v>0</v>
      </c>
      <c r="H153" s="53"/>
      <c r="I153" s="53"/>
      <c r="J153" s="518"/>
      <c r="K153" s="53"/>
      <c r="L153" s="53">
        <f>SUM(L154:L156)</f>
        <v>5260000</v>
      </c>
      <c r="M153" s="53"/>
      <c r="N153" s="53"/>
      <c r="O153" s="518"/>
      <c r="P153" s="53"/>
      <c r="Q153" s="53">
        <f>SUM(Q154:Q156)</f>
        <v>6040000</v>
      </c>
      <c r="R153" s="53"/>
      <c r="S153" s="53"/>
      <c r="T153" s="518"/>
      <c r="U153" s="53"/>
      <c r="V153" s="53">
        <f>SUM(V154:V156)</f>
        <v>0</v>
      </c>
      <c r="W153" s="53"/>
      <c r="X153" s="53"/>
      <c r="Y153" s="518"/>
      <c r="Z153" s="53"/>
      <c r="AA153" s="53">
        <f>SUM(AA154:AA156)</f>
        <v>0</v>
      </c>
      <c r="AB153" s="53"/>
      <c r="AC153" s="53"/>
      <c r="AD153" s="518"/>
      <c r="AE153" s="53"/>
      <c r="AF153" s="53">
        <f>SUM(AF154:AF156)</f>
        <v>0</v>
      </c>
      <c r="AG153" s="53"/>
      <c r="AH153" s="53"/>
      <c r="AI153" s="518"/>
      <c r="AJ153" s="53"/>
      <c r="AK153" s="53">
        <f>SUM(AK154:AK156)</f>
        <v>0</v>
      </c>
      <c r="AL153" s="53"/>
      <c r="AM153" s="53"/>
      <c r="AN153" s="518"/>
      <c r="AO153" s="53"/>
      <c r="AP153" s="53">
        <f>SUM(AP154:AP156)</f>
        <v>0</v>
      </c>
      <c r="AQ153" s="53"/>
      <c r="AR153" s="53"/>
      <c r="AS153" s="518"/>
      <c r="AT153" s="53"/>
      <c r="AU153" s="53">
        <f>SUM(AU154:AU156)</f>
        <v>0</v>
      </c>
      <c r="AV153" s="53"/>
      <c r="AW153" s="53"/>
      <c r="AX153" s="518"/>
      <c r="AY153" s="53"/>
      <c r="AZ153" s="53">
        <f>SUM(AZ154:AZ156)</f>
        <v>0</v>
      </c>
      <c r="BA153" s="53"/>
      <c r="BB153" s="53"/>
      <c r="BC153" s="518"/>
      <c r="BD153" s="53"/>
      <c r="BE153" s="53">
        <f>SUM(BE154:BE156)</f>
        <v>0</v>
      </c>
      <c r="BF153" s="53"/>
      <c r="BG153" s="53"/>
      <c r="BH153" s="518"/>
      <c r="BI153" s="53"/>
      <c r="BJ153" s="53">
        <f>SUM(BJ154:BJ156)</f>
        <v>0</v>
      </c>
      <c r="BK153" s="53"/>
      <c r="BL153" s="53"/>
      <c r="BM153" s="518"/>
      <c r="BN153" s="53"/>
      <c r="BO153" s="53">
        <f>SUM(BO154:BO156)</f>
        <v>0</v>
      </c>
      <c r="BP153" s="53"/>
      <c r="BQ153" s="53"/>
      <c r="BR153" s="518"/>
      <c r="BS153" s="53"/>
      <c r="BT153" s="53">
        <f>SUM(BT154:BT156)</f>
        <v>11300000</v>
      </c>
      <c r="BU153" s="53"/>
      <c r="BV153" s="53"/>
      <c r="BW153" s="465"/>
      <c r="BZ153" s="410"/>
      <c r="CA153" s="410"/>
    </row>
    <row r="154" spans="1:79" ht="12.75" customHeight="1" x14ac:dyDescent="0.2">
      <c r="A154" s="377"/>
      <c r="B154" s="377"/>
      <c r="D154" s="465" t="s">
        <v>378</v>
      </c>
      <c r="F154" s="469"/>
      <c r="G154" s="520">
        <v>0</v>
      </c>
      <c r="H154" s="521"/>
      <c r="I154" s="53"/>
      <c r="J154" s="518"/>
      <c r="K154" s="519"/>
      <c r="L154" s="520">
        <f>5260000+82405</f>
        <v>5342405</v>
      </c>
      <c r="M154" s="521"/>
      <c r="N154" s="53"/>
      <c r="O154" s="518"/>
      <c r="P154" s="519"/>
      <c r="Q154" s="520">
        <f>6040000+364741</f>
        <v>6404741</v>
      </c>
      <c r="R154" s="521"/>
      <c r="S154" s="53"/>
      <c r="T154" s="518"/>
      <c r="U154" s="519"/>
      <c r="V154" s="520">
        <v>0</v>
      </c>
      <c r="W154" s="521"/>
      <c r="X154" s="53"/>
      <c r="Y154" s="518"/>
      <c r="Z154" s="519"/>
      <c r="AA154" s="520">
        <v>0</v>
      </c>
      <c r="AB154" s="521"/>
      <c r="AC154" s="53"/>
      <c r="AD154" s="518"/>
      <c r="AE154" s="519"/>
      <c r="AF154" s="520">
        <v>0</v>
      </c>
      <c r="AG154" s="521"/>
      <c r="AH154" s="53"/>
      <c r="AI154" s="518"/>
      <c r="AJ154" s="519"/>
      <c r="AK154" s="520">
        <v>0</v>
      </c>
      <c r="AL154" s="521"/>
      <c r="AM154" s="53"/>
      <c r="AN154" s="518"/>
      <c r="AO154" s="519"/>
      <c r="AP154" s="520">
        <v>0</v>
      </c>
      <c r="AQ154" s="521"/>
      <c r="AR154" s="53"/>
      <c r="AS154" s="518"/>
      <c r="AT154" s="519"/>
      <c r="AU154" s="520">
        <v>0</v>
      </c>
      <c r="AV154" s="521"/>
      <c r="AW154" s="53"/>
      <c r="AX154" s="518"/>
      <c r="AY154" s="519"/>
      <c r="AZ154" s="520">
        <v>0</v>
      </c>
      <c r="BA154" s="521"/>
      <c r="BB154" s="53"/>
      <c r="BC154" s="518"/>
      <c r="BD154" s="519"/>
      <c r="BE154" s="520">
        <v>0</v>
      </c>
      <c r="BF154" s="521"/>
      <c r="BG154" s="53"/>
      <c r="BH154" s="518"/>
      <c r="BI154" s="519"/>
      <c r="BJ154" s="520">
        <v>0</v>
      </c>
      <c r="BK154" s="521"/>
      <c r="BL154" s="53"/>
      <c r="BM154" s="518"/>
      <c r="BN154" s="519"/>
      <c r="BO154" s="520">
        <v>0</v>
      </c>
      <c r="BP154" s="521"/>
      <c r="BQ154" s="53"/>
      <c r="BR154" s="518"/>
      <c r="BS154" s="519"/>
      <c r="BT154" s="520">
        <f>SUM(L154:BO154)</f>
        <v>11747146</v>
      </c>
      <c r="BU154" s="521"/>
      <c r="BV154" s="53"/>
      <c r="BW154" s="465"/>
      <c r="BZ154" s="410"/>
      <c r="CA154" s="410"/>
    </row>
    <row r="155" spans="1:79" ht="12.75" customHeight="1" x14ac:dyDescent="0.2">
      <c r="A155" s="377"/>
      <c r="B155" s="377"/>
      <c r="D155" s="465" t="s">
        <v>380</v>
      </c>
      <c r="F155" s="417"/>
      <c r="G155" s="53">
        <v>0</v>
      </c>
      <c r="H155" s="52"/>
      <c r="I155" s="53"/>
      <c r="J155" s="518"/>
      <c r="K155" s="518"/>
      <c r="L155" s="53">
        <v>0</v>
      </c>
      <c r="M155" s="52"/>
      <c r="N155" s="53"/>
      <c r="O155" s="518"/>
      <c r="P155" s="518"/>
      <c r="Q155" s="53">
        <v>0</v>
      </c>
      <c r="R155" s="52"/>
      <c r="S155" s="53"/>
      <c r="T155" s="518"/>
      <c r="U155" s="518"/>
      <c r="V155" s="53">
        <v>0</v>
      </c>
      <c r="W155" s="52"/>
      <c r="X155" s="53"/>
      <c r="Y155" s="518"/>
      <c r="Z155" s="518"/>
      <c r="AA155" s="53">
        <v>0</v>
      </c>
      <c r="AB155" s="52"/>
      <c r="AC155" s="53"/>
      <c r="AD155" s="518"/>
      <c r="AE155" s="518"/>
      <c r="AF155" s="53">
        <v>0</v>
      </c>
      <c r="AG155" s="52"/>
      <c r="AH155" s="53"/>
      <c r="AI155" s="518"/>
      <c r="AJ155" s="518"/>
      <c r="AK155" s="53">
        <v>0</v>
      </c>
      <c r="AL155" s="52"/>
      <c r="AM155" s="53"/>
      <c r="AN155" s="518"/>
      <c r="AO155" s="518"/>
      <c r="AP155" s="53">
        <v>0</v>
      </c>
      <c r="AQ155" s="52"/>
      <c r="AR155" s="53"/>
      <c r="AS155" s="518"/>
      <c r="AT155" s="518"/>
      <c r="AU155" s="53">
        <v>0</v>
      </c>
      <c r="AV155" s="52"/>
      <c r="AW155" s="53"/>
      <c r="AX155" s="518"/>
      <c r="AY155" s="518"/>
      <c r="AZ155" s="53">
        <v>0</v>
      </c>
      <c r="BA155" s="52"/>
      <c r="BB155" s="53"/>
      <c r="BC155" s="518"/>
      <c r="BD155" s="518"/>
      <c r="BE155" s="53">
        <v>0</v>
      </c>
      <c r="BF155" s="52"/>
      <c r="BG155" s="53"/>
      <c r="BH155" s="518"/>
      <c r="BI155" s="518"/>
      <c r="BJ155" s="53">
        <v>0</v>
      </c>
      <c r="BK155" s="52"/>
      <c r="BL155" s="53"/>
      <c r="BM155" s="518"/>
      <c r="BN155" s="518"/>
      <c r="BO155" s="53">
        <v>0</v>
      </c>
      <c r="BP155" s="52"/>
      <c r="BQ155" s="53"/>
      <c r="BR155" s="518"/>
      <c r="BS155" s="518"/>
      <c r="BT155" s="53">
        <f>SUM(L155:BO155)</f>
        <v>0</v>
      </c>
      <c r="BU155" s="52"/>
      <c r="BV155" s="53"/>
      <c r="BW155" s="465"/>
      <c r="BZ155" s="410"/>
      <c r="CA155" s="410"/>
    </row>
    <row r="156" spans="1:79" ht="12.75" customHeight="1" x14ac:dyDescent="0.2">
      <c r="A156" s="377"/>
      <c r="B156" s="377"/>
      <c r="D156" s="465" t="s">
        <v>381</v>
      </c>
      <c r="F156" s="478"/>
      <c r="G156" s="102">
        <v>0</v>
      </c>
      <c r="H156" s="101"/>
      <c r="I156" s="53"/>
      <c r="J156" s="518"/>
      <c r="K156" s="522"/>
      <c r="L156" s="102">
        <v>-82405</v>
      </c>
      <c r="M156" s="101"/>
      <c r="N156" s="53"/>
      <c r="O156" s="518"/>
      <c r="P156" s="522"/>
      <c r="Q156" s="102">
        <v>-364741</v>
      </c>
      <c r="R156" s="101"/>
      <c r="S156" s="53"/>
      <c r="T156" s="518"/>
      <c r="U156" s="522"/>
      <c r="V156" s="102">
        <v>0</v>
      </c>
      <c r="W156" s="101"/>
      <c r="X156" s="53"/>
      <c r="Y156" s="518"/>
      <c r="Z156" s="522"/>
      <c r="AA156" s="102">
        <v>0</v>
      </c>
      <c r="AB156" s="101"/>
      <c r="AC156" s="53"/>
      <c r="AD156" s="518"/>
      <c r="AE156" s="522"/>
      <c r="AF156" s="102">
        <v>0</v>
      </c>
      <c r="AG156" s="101"/>
      <c r="AH156" s="53"/>
      <c r="AI156" s="518"/>
      <c r="AJ156" s="522"/>
      <c r="AK156" s="102">
        <v>0</v>
      </c>
      <c r="AL156" s="101"/>
      <c r="AM156" s="53"/>
      <c r="AN156" s="518"/>
      <c r="AO156" s="522"/>
      <c r="AP156" s="102">
        <v>0</v>
      </c>
      <c r="AQ156" s="101"/>
      <c r="AR156" s="53"/>
      <c r="AS156" s="518"/>
      <c r="AT156" s="522"/>
      <c r="AU156" s="102">
        <v>0</v>
      </c>
      <c r="AV156" s="101"/>
      <c r="AW156" s="53"/>
      <c r="AX156" s="518"/>
      <c r="AY156" s="522"/>
      <c r="AZ156" s="102">
        <v>0</v>
      </c>
      <c r="BA156" s="101"/>
      <c r="BB156" s="53"/>
      <c r="BC156" s="518"/>
      <c r="BD156" s="522"/>
      <c r="BE156" s="102">
        <v>0</v>
      </c>
      <c r="BF156" s="101"/>
      <c r="BG156" s="53"/>
      <c r="BH156" s="518"/>
      <c r="BI156" s="522"/>
      <c r="BJ156" s="102">
        <v>0</v>
      </c>
      <c r="BK156" s="101"/>
      <c r="BL156" s="53"/>
      <c r="BM156" s="518"/>
      <c r="BN156" s="522"/>
      <c r="BO156" s="102">
        <v>0</v>
      </c>
      <c r="BP156" s="101"/>
      <c r="BQ156" s="53"/>
      <c r="BR156" s="518"/>
      <c r="BS156" s="522"/>
      <c r="BT156" s="102">
        <f>SUM(L156:BO156)</f>
        <v>-447146</v>
      </c>
      <c r="BU156" s="101"/>
      <c r="BV156" s="53"/>
      <c r="BW156" s="465"/>
      <c r="BZ156" s="410"/>
      <c r="CA156" s="410"/>
    </row>
    <row r="157" spans="1:79" ht="7.5" customHeight="1" x14ac:dyDescent="0.2">
      <c r="A157" s="377"/>
      <c r="B157" s="377"/>
      <c r="D157" s="465"/>
      <c r="F157" s="377"/>
      <c r="G157" s="53"/>
      <c r="H157" s="53"/>
      <c r="I157" s="53"/>
      <c r="J157" s="518"/>
      <c r="K157" s="53"/>
      <c r="L157" s="53"/>
      <c r="M157" s="53"/>
      <c r="N157" s="53"/>
      <c r="O157" s="518"/>
      <c r="P157" s="53"/>
      <c r="Q157" s="53"/>
      <c r="R157" s="53"/>
      <c r="S157" s="53"/>
      <c r="T157" s="518"/>
      <c r="U157" s="53"/>
      <c r="V157" s="53"/>
      <c r="W157" s="53"/>
      <c r="X157" s="53"/>
      <c r="Y157" s="518"/>
      <c r="Z157" s="53"/>
      <c r="AA157" s="53"/>
      <c r="AB157" s="53"/>
      <c r="AC157" s="53"/>
      <c r="AD157" s="518"/>
      <c r="AE157" s="53"/>
      <c r="AF157" s="53"/>
      <c r="AG157" s="53"/>
      <c r="AH157" s="53"/>
      <c r="AI157" s="518"/>
      <c r="AJ157" s="53"/>
      <c r="AK157" s="53"/>
      <c r="AL157" s="53"/>
      <c r="AM157" s="53"/>
      <c r="AN157" s="518"/>
      <c r="AO157" s="53"/>
      <c r="AP157" s="53"/>
      <c r="AQ157" s="53"/>
      <c r="AR157" s="53"/>
      <c r="AS157" s="518"/>
      <c r="AT157" s="53"/>
      <c r="AU157" s="53"/>
      <c r="AV157" s="53"/>
      <c r="AW157" s="53"/>
      <c r="AX157" s="518"/>
      <c r="AY157" s="53"/>
      <c r="AZ157" s="53"/>
      <c r="BA157" s="53"/>
      <c r="BB157" s="53"/>
      <c r="BC157" s="518"/>
      <c r="BD157" s="53"/>
      <c r="BE157" s="53"/>
      <c r="BF157" s="53"/>
      <c r="BG157" s="53"/>
      <c r="BH157" s="518"/>
      <c r="BI157" s="53"/>
      <c r="BJ157" s="53"/>
      <c r="BK157" s="53"/>
      <c r="BL157" s="53"/>
      <c r="BM157" s="518"/>
      <c r="BN157" s="53"/>
      <c r="BO157" s="53"/>
      <c r="BP157" s="53"/>
      <c r="BQ157" s="53"/>
      <c r="BR157" s="518"/>
      <c r="BS157" s="53"/>
      <c r="BT157" s="53"/>
      <c r="BU157" s="53"/>
      <c r="BV157" s="53"/>
      <c r="BW157" s="465"/>
      <c r="BZ157" s="410"/>
      <c r="CA157" s="410"/>
    </row>
    <row r="158" spans="1:79" ht="12.75" customHeight="1" x14ac:dyDescent="0.2">
      <c r="A158" s="377"/>
      <c r="B158" s="377"/>
      <c r="D158" s="465" t="s">
        <v>407</v>
      </c>
      <c r="F158" s="377"/>
      <c r="G158" s="53">
        <f>SUM(G159:G161)</f>
        <v>0</v>
      </c>
      <c r="H158" s="53"/>
      <c r="I158" s="53"/>
      <c r="J158" s="518"/>
      <c r="K158" s="53"/>
      <c r="L158" s="53">
        <f>SUM(L159:L161)</f>
        <v>6792000</v>
      </c>
      <c r="M158" s="53"/>
      <c r="N158" s="53"/>
      <c r="O158" s="518"/>
      <c r="P158" s="53"/>
      <c r="Q158" s="53">
        <f>SUM(Q159:Q161)</f>
        <v>11547000</v>
      </c>
      <c r="R158" s="53"/>
      <c r="S158" s="53"/>
      <c r="T158" s="518"/>
      <c r="U158" s="53"/>
      <c r="V158" s="53">
        <f>SUM(V159:V161)</f>
        <v>15028000</v>
      </c>
      <c r="W158" s="53"/>
      <c r="X158" s="53"/>
      <c r="Y158" s="518"/>
      <c r="Z158" s="53"/>
      <c r="AA158" s="53">
        <f>SUM(AA159:AA161)</f>
        <v>14865000</v>
      </c>
      <c r="AB158" s="53"/>
      <c r="AC158" s="53"/>
      <c r="AD158" s="518"/>
      <c r="AE158" s="53"/>
      <c r="AF158" s="53">
        <f>SUM(AF159:AF161)</f>
        <v>2200000</v>
      </c>
      <c r="AG158" s="53"/>
      <c r="AH158" s="53"/>
      <c r="AI158" s="518"/>
      <c r="AJ158" s="53"/>
      <c r="AK158" s="53">
        <f>SUM(AK159:AK161)</f>
        <v>3111000</v>
      </c>
      <c r="AL158" s="53"/>
      <c r="AM158" s="53"/>
      <c r="AN158" s="518"/>
      <c r="AO158" s="53"/>
      <c r="AP158" s="53">
        <f>SUM(AP159:AP161)</f>
        <v>0</v>
      </c>
      <c r="AQ158" s="53"/>
      <c r="AR158" s="53"/>
      <c r="AS158" s="518"/>
      <c r="AT158" s="53"/>
      <c r="AU158" s="53">
        <f>SUM(AU159:AU161)</f>
        <v>0</v>
      </c>
      <c r="AV158" s="53"/>
      <c r="AW158" s="53"/>
      <c r="AX158" s="518"/>
      <c r="AY158" s="53"/>
      <c r="AZ158" s="53">
        <f>SUM(AZ159:AZ161)</f>
        <v>0</v>
      </c>
      <c r="BA158" s="53"/>
      <c r="BB158" s="53"/>
      <c r="BC158" s="518"/>
      <c r="BD158" s="53"/>
      <c r="BE158" s="53">
        <f>SUM(BE159:BE161)</f>
        <v>0</v>
      </c>
      <c r="BF158" s="53"/>
      <c r="BG158" s="53"/>
      <c r="BH158" s="518"/>
      <c r="BI158" s="53"/>
      <c r="BJ158" s="53">
        <f>SUM(BJ159:BJ161)</f>
        <v>0</v>
      </c>
      <c r="BK158" s="53"/>
      <c r="BL158" s="53"/>
      <c r="BM158" s="518"/>
      <c r="BN158" s="53"/>
      <c r="BO158" s="53">
        <f>SUM(BO159:BO161)</f>
        <v>0</v>
      </c>
      <c r="BP158" s="53"/>
      <c r="BQ158" s="53"/>
      <c r="BR158" s="518"/>
      <c r="BS158" s="53"/>
      <c r="BT158" s="53">
        <f>SUM(BT159:BT161)</f>
        <v>53543000</v>
      </c>
      <c r="BU158" s="53"/>
      <c r="BV158" s="53"/>
      <c r="BW158" s="465"/>
      <c r="BZ158" s="410"/>
      <c r="CA158" s="410"/>
    </row>
    <row r="159" spans="1:79" ht="12.75" customHeight="1" x14ac:dyDescent="0.2">
      <c r="A159" s="377"/>
      <c r="B159" s="377"/>
      <c r="D159" s="465" t="s">
        <v>378</v>
      </c>
      <c r="F159" s="469"/>
      <c r="G159" s="520">
        <v>0</v>
      </c>
      <c r="H159" s="521"/>
      <c r="I159" s="53"/>
      <c r="J159" s="518"/>
      <c r="K159" s="519"/>
      <c r="L159" s="520">
        <f>6792000-1194431</f>
        <v>5597569</v>
      </c>
      <c r="M159" s="521"/>
      <c r="N159" s="53"/>
      <c r="O159" s="518"/>
      <c r="P159" s="519"/>
      <c r="Q159" s="520">
        <f>11547000-1251316</f>
        <v>10295684</v>
      </c>
      <c r="R159" s="521"/>
      <c r="S159" s="53"/>
      <c r="T159" s="518"/>
      <c r="U159" s="519"/>
      <c r="V159" s="520">
        <f>15028000-993433</f>
        <v>14034567</v>
      </c>
      <c r="W159" s="521"/>
      <c r="X159" s="53"/>
      <c r="Y159" s="518"/>
      <c r="Z159" s="519"/>
      <c r="AA159" s="520">
        <f>14865000-1307191</f>
        <v>13557809</v>
      </c>
      <c r="AB159" s="521"/>
      <c r="AC159" s="53"/>
      <c r="AD159" s="518"/>
      <c r="AE159" s="519"/>
      <c r="AF159" s="520">
        <f>2200000-172161</f>
        <v>2027839</v>
      </c>
      <c r="AG159" s="521"/>
      <c r="AH159" s="53"/>
      <c r="AI159" s="518"/>
      <c r="AJ159" s="519"/>
      <c r="AK159" s="520">
        <f>3111000-234069</f>
        <v>2876931</v>
      </c>
      <c r="AL159" s="521"/>
      <c r="AM159" s="53"/>
      <c r="AN159" s="518"/>
      <c r="AO159" s="519"/>
      <c r="AP159" s="520">
        <v>0</v>
      </c>
      <c r="AQ159" s="521"/>
      <c r="AR159" s="53"/>
      <c r="AS159" s="518"/>
      <c r="AT159" s="519"/>
      <c r="AU159" s="520">
        <v>0</v>
      </c>
      <c r="AV159" s="521"/>
      <c r="AW159" s="53"/>
      <c r="AX159" s="518"/>
      <c r="AY159" s="519"/>
      <c r="AZ159" s="520">
        <v>0</v>
      </c>
      <c r="BA159" s="521"/>
      <c r="BB159" s="53"/>
      <c r="BC159" s="518"/>
      <c r="BD159" s="519"/>
      <c r="BE159" s="520">
        <v>0</v>
      </c>
      <c r="BF159" s="521"/>
      <c r="BG159" s="53"/>
      <c r="BH159" s="518"/>
      <c r="BI159" s="519"/>
      <c r="BJ159" s="520">
        <v>0</v>
      </c>
      <c r="BK159" s="521"/>
      <c r="BL159" s="53"/>
      <c r="BM159" s="518"/>
      <c r="BN159" s="519"/>
      <c r="BO159" s="520">
        <v>0</v>
      </c>
      <c r="BP159" s="521"/>
      <c r="BQ159" s="53"/>
      <c r="BR159" s="518"/>
      <c r="BS159" s="519"/>
      <c r="BT159" s="520">
        <f>SUM(L159:BO159)</f>
        <v>48390399</v>
      </c>
      <c r="BU159" s="521"/>
      <c r="BV159" s="53"/>
      <c r="BW159" s="465"/>
      <c r="BZ159" s="410"/>
      <c r="CA159" s="410"/>
    </row>
    <row r="160" spans="1:79" ht="12.75" customHeight="1" x14ac:dyDescent="0.2">
      <c r="A160" s="377"/>
      <c r="B160" s="377"/>
      <c r="D160" s="465" t="s">
        <v>380</v>
      </c>
      <c r="F160" s="417"/>
      <c r="G160" s="53">
        <v>0</v>
      </c>
      <c r="H160" s="52"/>
      <c r="I160" s="53"/>
      <c r="J160" s="518"/>
      <c r="K160" s="518"/>
      <c r="L160" s="53">
        <v>1194431</v>
      </c>
      <c r="M160" s="52"/>
      <c r="N160" s="53"/>
      <c r="O160" s="518"/>
      <c r="P160" s="518"/>
      <c r="Q160" s="53">
        <v>1251316</v>
      </c>
      <c r="R160" s="52"/>
      <c r="S160" s="53"/>
      <c r="T160" s="518"/>
      <c r="U160" s="518"/>
      <c r="V160" s="53">
        <v>993433</v>
      </c>
      <c r="W160" s="52"/>
      <c r="X160" s="53"/>
      <c r="Y160" s="518"/>
      <c r="Z160" s="518"/>
      <c r="AA160" s="53">
        <v>1307191</v>
      </c>
      <c r="AB160" s="52"/>
      <c r="AC160" s="53"/>
      <c r="AD160" s="518"/>
      <c r="AE160" s="518"/>
      <c r="AF160" s="53">
        <v>172161</v>
      </c>
      <c r="AG160" s="52"/>
      <c r="AH160" s="53"/>
      <c r="AI160" s="518"/>
      <c r="AJ160" s="518"/>
      <c r="AK160" s="53">
        <v>234069</v>
      </c>
      <c r="AL160" s="52"/>
      <c r="AM160" s="53"/>
      <c r="AN160" s="518"/>
      <c r="AO160" s="518"/>
      <c r="AP160" s="53">
        <v>0</v>
      </c>
      <c r="AQ160" s="52"/>
      <c r="AR160" s="53"/>
      <c r="AS160" s="518"/>
      <c r="AT160" s="518"/>
      <c r="AU160" s="53">
        <v>0</v>
      </c>
      <c r="AV160" s="52"/>
      <c r="AW160" s="53"/>
      <c r="AX160" s="518"/>
      <c r="AY160" s="518"/>
      <c r="AZ160" s="53">
        <v>0</v>
      </c>
      <c r="BA160" s="52"/>
      <c r="BB160" s="53"/>
      <c r="BC160" s="518"/>
      <c r="BD160" s="518"/>
      <c r="BE160" s="53">
        <v>0</v>
      </c>
      <c r="BF160" s="52"/>
      <c r="BG160" s="53"/>
      <c r="BH160" s="518"/>
      <c r="BI160" s="518"/>
      <c r="BJ160" s="53">
        <v>0</v>
      </c>
      <c r="BK160" s="52"/>
      <c r="BL160" s="53"/>
      <c r="BM160" s="518"/>
      <c r="BN160" s="518"/>
      <c r="BO160" s="53">
        <v>0</v>
      </c>
      <c r="BP160" s="52"/>
      <c r="BQ160" s="53"/>
      <c r="BR160" s="518"/>
      <c r="BS160" s="518"/>
      <c r="BT160" s="53">
        <f>SUM(L160:BO160)</f>
        <v>5152601</v>
      </c>
      <c r="BU160" s="52"/>
      <c r="BV160" s="53"/>
      <c r="BW160" s="465"/>
      <c r="BZ160" s="410"/>
      <c r="CA160" s="410"/>
    </row>
    <row r="161" spans="1:79" ht="12.75" customHeight="1" x14ac:dyDescent="0.2">
      <c r="A161" s="377"/>
      <c r="B161" s="377"/>
      <c r="D161" s="465" t="s">
        <v>381</v>
      </c>
      <c r="F161" s="478"/>
      <c r="G161" s="102">
        <v>0</v>
      </c>
      <c r="H161" s="101"/>
      <c r="I161" s="53"/>
      <c r="J161" s="518"/>
      <c r="K161" s="522"/>
      <c r="L161" s="102">
        <v>0</v>
      </c>
      <c r="M161" s="101"/>
      <c r="N161" s="53"/>
      <c r="O161" s="518"/>
      <c r="P161" s="522"/>
      <c r="Q161" s="102">
        <v>0</v>
      </c>
      <c r="R161" s="101"/>
      <c r="S161" s="53"/>
      <c r="T161" s="518"/>
      <c r="U161" s="522"/>
      <c r="V161" s="102">
        <v>0</v>
      </c>
      <c r="W161" s="101"/>
      <c r="X161" s="53"/>
      <c r="Y161" s="518"/>
      <c r="Z161" s="522"/>
      <c r="AA161" s="102">
        <v>0</v>
      </c>
      <c r="AB161" s="101"/>
      <c r="AC161" s="53"/>
      <c r="AD161" s="518"/>
      <c r="AE161" s="522"/>
      <c r="AF161" s="102">
        <v>0</v>
      </c>
      <c r="AG161" s="101"/>
      <c r="AH161" s="53"/>
      <c r="AI161" s="518"/>
      <c r="AJ161" s="522"/>
      <c r="AK161" s="102">
        <v>0</v>
      </c>
      <c r="AL161" s="101"/>
      <c r="AM161" s="53"/>
      <c r="AN161" s="518"/>
      <c r="AO161" s="522"/>
      <c r="AP161" s="102">
        <v>0</v>
      </c>
      <c r="AQ161" s="101"/>
      <c r="AR161" s="53"/>
      <c r="AS161" s="518"/>
      <c r="AT161" s="522"/>
      <c r="AU161" s="102">
        <v>0</v>
      </c>
      <c r="AV161" s="101"/>
      <c r="AW161" s="53"/>
      <c r="AX161" s="518"/>
      <c r="AY161" s="522"/>
      <c r="AZ161" s="102">
        <v>0</v>
      </c>
      <c r="BA161" s="101"/>
      <c r="BB161" s="53"/>
      <c r="BC161" s="518"/>
      <c r="BD161" s="522"/>
      <c r="BE161" s="102">
        <v>0</v>
      </c>
      <c r="BF161" s="101"/>
      <c r="BG161" s="53"/>
      <c r="BH161" s="518"/>
      <c r="BI161" s="522"/>
      <c r="BJ161" s="102">
        <v>0</v>
      </c>
      <c r="BK161" s="101"/>
      <c r="BL161" s="53"/>
      <c r="BM161" s="518"/>
      <c r="BN161" s="522"/>
      <c r="BO161" s="102">
        <v>0</v>
      </c>
      <c r="BP161" s="101"/>
      <c r="BQ161" s="53"/>
      <c r="BR161" s="518"/>
      <c r="BS161" s="522"/>
      <c r="BT161" s="102">
        <f>SUM(L161:BO161)</f>
        <v>0</v>
      </c>
      <c r="BU161" s="101"/>
      <c r="BV161" s="53"/>
      <c r="BW161" s="465"/>
      <c r="BZ161" s="410"/>
      <c r="CA161" s="410"/>
    </row>
    <row r="162" spans="1:79" ht="8.25" customHeight="1" x14ac:dyDescent="0.2">
      <c r="A162" s="377"/>
      <c r="B162" s="377"/>
      <c r="D162" s="465"/>
      <c r="F162" s="377"/>
      <c r="G162" s="53"/>
      <c r="H162" s="53"/>
      <c r="I162" s="53"/>
      <c r="J162" s="518"/>
      <c r="K162" s="53"/>
      <c r="L162" s="53"/>
      <c r="M162" s="53"/>
      <c r="N162" s="53"/>
      <c r="O162" s="518"/>
      <c r="P162" s="53"/>
      <c r="Q162" s="53"/>
      <c r="R162" s="53"/>
      <c r="S162" s="53"/>
      <c r="T162" s="518"/>
      <c r="U162" s="53"/>
      <c r="V162" s="53"/>
      <c r="W162" s="53"/>
      <c r="X162" s="53"/>
      <c r="Y162" s="518"/>
      <c r="Z162" s="53"/>
      <c r="AA162" s="53"/>
      <c r="AB162" s="53"/>
      <c r="AC162" s="53"/>
      <c r="AD162" s="518"/>
      <c r="AE162" s="53"/>
      <c r="AF162" s="53"/>
      <c r="AG162" s="53"/>
      <c r="AH162" s="53"/>
      <c r="AI162" s="518"/>
      <c r="AJ162" s="53"/>
      <c r="AK162" s="53"/>
      <c r="AL162" s="53"/>
      <c r="AM162" s="53"/>
      <c r="AN162" s="518"/>
      <c r="AO162" s="53"/>
      <c r="AP162" s="53"/>
      <c r="AQ162" s="53"/>
      <c r="AR162" s="53"/>
      <c r="AS162" s="518"/>
      <c r="AT162" s="53"/>
      <c r="AU162" s="53"/>
      <c r="AV162" s="53"/>
      <c r="AW162" s="53"/>
      <c r="AX162" s="518"/>
      <c r="AY162" s="53"/>
      <c r="AZ162" s="53"/>
      <c r="BA162" s="53"/>
      <c r="BB162" s="53"/>
      <c r="BC162" s="518"/>
      <c r="BD162" s="53"/>
      <c r="BE162" s="53"/>
      <c r="BF162" s="53"/>
      <c r="BG162" s="53"/>
      <c r="BH162" s="518"/>
      <c r="BI162" s="53"/>
      <c r="BJ162" s="53"/>
      <c r="BK162" s="53"/>
      <c r="BL162" s="53"/>
      <c r="BM162" s="518"/>
      <c r="BN162" s="53"/>
      <c r="BO162" s="53"/>
      <c r="BP162" s="53"/>
      <c r="BQ162" s="53"/>
      <c r="BR162" s="518"/>
      <c r="BS162" s="53"/>
      <c r="BT162" s="53"/>
      <c r="BU162" s="53"/>
      <c r="BV162" s="53"/>
      <c r="BW162" s="465"/>
      <c r="BZ162" s="410"/>
      <c r="CA162" s="410"/>
    </row>
    <row r="163" spans="1:79" ht="12.75" customHeight="1" x14ac:dyDescent="0.2">
      <c r="A163" s="377"/>
      <c r="B163" s="377"/>
      <c r="D163" s="465" t="s">
        <v>408</v>
      </c>
      <c r="F163" s="377"/>
      <c r="G163" s="53">
        <f>SUM(G164:G166)</f>
        <v>0</v>
      </c>
      <c r="H163" s="53"/>
      <c r="I163" s="53"/>
      <c r="J163" s="518"/>
      <c r="K163" s="53"/>
      <c r="L163" s="53">
        <f>SUM(L164:L166)</f>
        <v>6024000</v>
      </c>
      <c r="M163" s="53"/>
      <c r="N163" s="53"/>
      <c r="O163" s="518"/>
      <c r="P163" s="53"/>
      <c r="Q163" s="53">
        <f>SUM(Q164:Q166)</f>
        <v>3019000</v>
      </c>
      <c r="R163" s="53"/>
      <c r="S163" s="53"/>
      <c r="T163" s="518"/>
      <c r="U163" s="53"/>
      <c r="V163" s="53">
        <f>SUM(V164:V166)</f>
        <v>2872000</v>
      </c>
      <c r="W163" s="53"/>
      <c r="X163" s="53"/>
      <c r="Y163" s="518"/>
      <c r="Z163" s="53"/>
      <c r="AA163" s="53">
        <f>SUM(AA164:AA166)</f>
        <v>6600000</v>
      </c>
      <c r="AB163" s="53"/>
      <c r="AC163" s="53"/>
      <c r="AD163" s="518"/>
      <c r="AE163" s="53"/>
      <c r="AF163" s="53">
        <f>SUM(AF164:AF166)</f>
        <v>9277000</v>
      </c>
      <c r="AG163" s="53"/>
      <c r="AH163" s="53"/>
      <c r="AI163" s="518"/>
      <c r="AJ163" s="53"/>
      <c r="AK163" s="53">
        <f>SUM(AK164:AK166)</f>
        <v>8807000</v>
      </c>
      <c r="AL163" s="53"/>
      <c r="AM163" s="53"/>
      <c r="AN163" s="518"/>
      <c r="AO163" s="53"/>
      <c r="AP163" s="53">
        <f>SUM(AP164:AP166)</f>
        <v>0</v>
      </c>
      <c r="AQ163" s="53"/>
      <c r="AR163" s="53"/>
      <c r="AS163" s="518"/>
      <c r="AT163" s="53"/>
      <c r="AU163" s="53">
        <f>SUM(AU164:AU166)</f>
        <v>0</v>
      </c>
      <c r="AV163" s="53"/>
      <c r="AW163" s="53"/>
      <c r="AX163" s="518"/>
      <c r="AY163" s="53"/>
      <c r="AZ163" s="53">
        <f>SUM(AZ164:AZ166)</f>
        <v>0</v>
      </c>
      <c r="BA163" s="53"/>
      <c r="BB163" s="53"/>
      <c r="BC163" s="518"/>
      <c r="BD163" s="53"/>
      <c r="BE163" s="53">
        <f>SUM(BE164:BE166)</f>
        <v>0</v>
      </c>
      <c r="BF163" s="53"/>
      <c r="BG163" s="53"/>
      <c r="BH163" s="518"/>
      <c r="BI163" s="53"/>
      <c r="BJ163" s="53">
        <f>SUM(BJ164:BJ166)</f>
        <v>0</v>
      </c>
      <c r="BK163" s="53"/>
      <c r="BL163" s="53"/>
      <c r="BM163" s="518"/>
      <c r="BN163" s="53"/>
      <c r="BO163" s="53">
        <f>SUM(BO164:BO166)</f>
        <v>0</v>
      </c>
      <c r="BP163" s="53"/>
      <c r="BQ163" s="53"/>
      <c r="BR163" s="518"/>
      <c r="BS163" s="53"/>
      <c r="BT163" s="53">
        <f>SUM(BT164:BT166)</f>
        <v>36599000</v>
      </c>
      <c r="BU163" s="53"/>
      <c r="BV163" s="53"/>
      <c r="BW163" s="465"/>
      <c r="BZ163" s="410"/>
      <c r="CA163" s="410"/>
    </row>
    <row r="164" spans="1:79" ht="12.75" customHeight="1" x14ac:dyDescent="0.2">
      <c r="A164" s="377"/>
      <c r="B164" s="377"/>
      <c r="D164" s="465" t="s">
        <v>378</v>
      </c>
      <c r="F164" s="469"/>
      <c r="G164" s="520">
        <v>0</v>
      </c>
      <c r="H164" s="521"/>
      <c r="I164" s="53"/>
      <c r="J164" s="518"/>
      <c r="K164" s="519"/>
      <c r="L164" s="520">
        <f>6024000-1184412</f>
        <v>4839588</v>
      </c>
      <c r="M164" s="521"/>
      <c r="N164" s="53"/>
      <c r="O164" s="518"/>
      <c r="P164" s="519"/>
      <c r="Q164" s="520">
        <f>3019000-467659</f>
        <v>2551341</v>
      </c>
      <c r="R164" s="521"/>
      <c r="S164" s="53"/>
      <c r="T164" s="518"/>
      <c r="U164" s="519"/>
      <c r="V164" s="520">
        <f>2872000-377052</f>
        <v>2494948</v>
      </c>
      <c r="W164" s="521"/>
      <c r="X164" s="53"/>
      <c r="Y164" s="518"/>
      <c r="Z164" s="519"/>
      <c r="AA164" s="520">
        <f>6600000-871152</f>
        <v>5728848</v>
      </c>
      <c r="AB164" s="521"/>
      <c r="AC164" s="53"/>
      <c r="AD164" s="518"/>
      <c r="AE164" s="519"/>
      <c r="AF164" s="520">
        <f>9277000-1225246</f>
        <v>8051754</v>
      </c>
      <c r="AG164" s="521"/>
      <c r="AH164" s="53"/>
      <c r="AI164" s="518"/>
      <c r="AJ164" s="519"/>
      <c r="AK164" s="520">
        <f>8807000-1107949</f>
        <v>7699051</v>
      </c>
      <c r="AL164" s="521"/>
      <c r="AM164" s="53"/>
      <c r="AN164" s="518"/>
      <c r="AO164" s="519"/>
      <c r="AP164" s="520">
        <v>0</v>
      </c>
      <c r="AQ164" s="521"/>
      <c r="AR164" s="53"/>
      <c r="AS164" s="518"/>
      <c r="AT164" s="519"/>
      <c r="AU164" s="520">
        <v>0</v>
      </c>
      <c r="AV164" s="521"/>
      <c r="AW164" s="53"/>
      <c r="AX164" s="518"/>
      <c r="AY164" s="519"/>
      <c r="AZ164" s="520">
        <v>0</v>
      </c>
      <c r="BA164" s="521"/>
      <c r="BB164" s="53"/>
      <c r="BC164" s="518"/>
      <c r="BD164" s="519"/>
      <c r="BE164" s="520">
        <v>0</v>
      </c>
      <c r="BF164" s="521"/>
      <c r="BG164" s="53"/>
      <c r="BH164" s="518"/>
      <c r="BI164" s="519"/>
      <c r="BJ164" s="520">
        <v>0</v>
      </c>
      <c r="BK164" s="521"/>
      <c r="BL164" s="53"/>
      <c r="BM164" s="518"/>
      <c r="BN164" s="519"/>
      <c r="BO164" s="520">
        <v>0</v>
      </c>
      <c r="BP164" s="521"/>
      <c r="BQ164" s="53"/>
      <c r="BR164" s="518"/>
      <c r="BS164" s="519"/>
      <c r="BT164" s="520">
        <f>SUM(L164:BO164)</f>
        <v>31365530</v>
      </c>
      <c r="BU164" s="521"/>
      <c r="BV164" s="53"/>
      <c r="BW164" s="465"/>
      <c r="BZ164" s="410"/>
      <c r="CA164" s="410"/>
    </row>
    <row r="165" spans="1:79" ht="12.75" customHeight="1" x14ac:dyDescent="0.2">
      <c r="A165" s="377"/>
      <c r="B165" s="377"/>
      <c r="D165" s="465" t="s">
        <v>380</v>
      </c>
      <c r="F165" s="417"/>
      <c r="G165" s="53">
        <v>0</v>
      </c>
      <c r="H165" s="52"/>
      <c r="I165" s="53"/>
      <c r="J165" s="518"/>
      <c r="K165" s="518"/>
      <c r="L165" s="53">
        <v>1184412</v>
      </c>
      <c r="M165" s="52"/>
      <c r="N165" s="53"/>
      <c r="O165" s="518"/>
      <c r="P165" s="518"/>
      <c r="Q165" s="53">
        <v>467659</v>
      </c>
      <c r="R165" s="52"/>
      <c r="S165" s="53"/>
      <c r="T165" s="518"/>
      <c r="U165" s="518"/>
      <c r="V165" s="53">
        <v>377052</v>
      </c>
      <c r="W165" s="52"/>
      <c r="X165" s="53"/>
      <c r="Y165" s="518"/>
      <c r="Z165" s="518"/>
      <c r="AA165" s="53">
        <v>871152</v>
      </c>
      <c r="AB165" s="52"/>
      <c r="AC165" s="53"/>
      <c r="AD165" s="518"/>
      <c r="AE165" s="518"/>
      <c r="AF165" s="53">
        <v>1225246</v>
      </c>
      <c r="AG165" s="52"/>
      <c r="AH165" s="53"/>
      <c r="AI165" s="518"/>
      <c r="AJ165" s="518"/>
      <c r="AK165" s="53">
        <v>1107949</v>
      </c>
      <c r="AL165" s="52"/>
      <c r="AM165" s="53"/>
      <c r="AN165" s="518"/>
      <c r="AO165" s="518"/>
      <c r="AP165" s="53">
        <v>0</v>
      </c>
      <c r="AQ165" s="52"/>
      <c r="AR165" s="53"/>
      <c r="AS165" s="518"/>
      <c r="AT165" s="518"/>
      <c r="AU165" s="53">
        <v>0</v>
      </c>
      <c r="AV165" s="52"/>
      <c r="AW165" s="53"/>
      <c r="AX165" s="518"/>
      <c r="AY165" s="518"/>
      <c r="AZ165" s="53">
        <v>0</v>
      </c>
      <c r="BA165" s="52"/>
      <c r="BB165" s="53"/>
      <c r="BC165" s="518"/>
      <c r="BD165" s="518"/>
      <c r="BE165" s="53">
        <v>0</v>
      </c>
      <c r="BF165" s="52"/>
      <c r="BG165" s="53"/>
      <c r="BH165" s="518"/>
      <c r="BI165" s="518"/>
      <c r="BJ165" s="53">
        <v>0</v>
      </c>
      <c r="BK165" s="52"/>
      <c r="BL165" s="53"/>
      <c r="BM165" s="518"/>
      <c r="BN165" s="518"/>
      <c r="BO165" s="53">
        <v>0</v>
      </c>
      <c r="BP165" s="52"/>
      <c r="BQ165" s="53"/>
      <c r="BR165" s="518"/>
      <c r="BS165" s="518"/>
      <c r="BT165" s="53">
        <f>SUM(L165:BO165)</f>
        <v>5233470</v>
      </c>
      <c r="BU165" s="52"/>
      <c r="BV165" s="53"/>
      <c r="BW165" s="465"/>
      <c r="BZ165" s="410"/>
      <c r="CA165" s="410"/>
    </row>
    <row r="166" spans="1:79" ht="12.75" customHeight="1" x14ac:dyDescent="0.2">
      <c r="A166" s="377"/>
      <c r="B166" s="377"/>
      <c r="D166" s="465" t="s">
        <v>381</v>
      </c>
      <c r="F166" s="478"/>
      <c r="G166" s="102">
        <v>0</v>
      </c>
      <c r="H166" s="101"/>
      <c r="I166" s="53"/>
      <c r="J166" s="518"/>
      <c r="K166" s="522"/>
      <c r="L166" s="102">
        <v>0</v>
      </c>
      <c r="M166" s="101"/>
      <c r="N166" s="53"/>
      <c r="O166" s="518"/>
      <c r="P166" s="522"/>
      <c r="Q166" s="102">
        <v>0</v>
      </c>
      <c r="R166" s="101"/>
      <c r="S166" s="53"/>
      <c r="T166" s="518"/>
      <c r="U166" s="522"/>
      <c r="V166" s="102">
        <v>0</v>
      </c>
      <c r="W166" s="101"/>
      <c r="X166" s="53"/>
      <c r="Y166" s="518"/>
      <c r="Z166" s="522"/>
      <c r="AA166" s="102">
        <v>0</v>
      </c>
      <c r="AB166" s="101"/>
      <c r="AC166" s="53"/>
      <c r="AD166" s="518"/>
      <c r="AE166" s="522"/>
      <c r="AF166" s="102">
        <v>0</v>
      </c>
      <c r="AG166" s="101"/>
      <c r="AH166" s="53"/>
      <c r="AI166" s="518"/>
      <c r="AJ166" s="522"/>
      <c r="AK166" s="102">
        <v>0</v>
      </c>
      <c r="AL166" s="101"/>
      <c r="AM166" s="53"/>
      <c r="AN166" s="518"/>
      <c r="AO166" s="522"/>
      <c r="AP166" s="102">
        <v>0</v>
      </c>
      <c r="AQ166" s="101"/>
      <c r="AR166" s="53"/>
      <c r="AS166" s="518"/>
      <c r="AT166" s="522"/>
      <c r="AU166" s="102">
        <v>0</v>
      </c>
      <c r="AV166" s="101"/>
      <c r="AW166" s="53"/>
      <c r="AX166" s="518"/>
      <c r="AY166" s="522"/>
      <c r="AZ166" s="102">
        <v>0</v>
      </c>
      <c r="BA166" s="101"/>
      <c r="BB166" s="53"/>
      <c r="BC166" s="518"/>
      <c r="BD166" s="522"/>
      <c r="BE166" s="102">
        <v>0</v>
      </c>
      <c r="BF166" s="101"/>
      <c r="BG166" s="53"/>
      <c r="BH166" s="518"/>
      <c r="BI166" s="522"/>
      <c r="BJ166" s="102">
        <v>0</v>
      </c>
      <c r="BK166" s="101"/>
      <c r="BL166" s="53"/>
      <c r="BM166" s="518"/>
      <c r="BN166" s="522"/>
      <c r="BO166" s="102">
        <v>0</v>
      </c>
      <c r="BP166" s="101"/>
      <c r="BQ166" s="53"/>
      <c r="BR166" s="518"/>
      <c r="BS166" s="522"/>
      <c r="BT166" s="102">
        <f>SUM(L166:BO166)</f>
        <v>0</v>
      </c>
      <c r="BU166" s="101"/>
      <c r="BV166" s="53"/>
      <c r="BW166" s="465"/>
      <c r="BZ166" s="410"/>
      <c r="CA166" s="410"/>
    </row>
    <row r="167" spans="1:79" ht="7.5" customHeight="1" x14ac:dyDescent="0.2">
      <c r="A167" s="377"/>
      <c r="B167" s="377"/>
      <c r="D167" s="465"/>
      <c r="F167" s="377"/>
      <c r="G167" s="53"/>
      <c r="H167" s="53"/>
      <c r="I167" s="53"/>
      <c r="J167" s="518"/>
      <c r="K167" s="53"/>
      <c r="L167" s="53"/>
      <c r="M167" s="53"/>
      <c r="N167" s="53"/>
      <c r="O167" s="518"/>
      <c r="P167" s="53"/>
      <c r="Q167" s="53"/>
      <c r="R167" s="53"/>
      <c r="S167" s="53"/>
      <c r="T167" s="518"/>
      <c r="U167" s="53"/>
      <c r="V167" s="53"/>
      <c r="W167" s="53"/>
      <c r="X167" s="53"/>
      <c r="Y167" s="518"/>
      <c r="Z167" s="53"/>
      <c r="AA167" s="53"/>
      <c r="AB167" s="53"/>
      <c r="AC167" s="53"/>
      <c r="AD167" s="518"/>
      <c r="AE167" s="53"/>
      <c r="AF167" s="53"/>
      <c r="AG167" s="53"/>
      <c r="AH167" s="53"/>
      <c r="AI167" s="518"/>
      <c r="AJ167" s="53"/>
      <c r="AK167" s="53"/>
      <c r="AL167" s="53"/>
      <c r="AM167" s="53"/>
      <c r="AN167" s="518"/>
      <c r="AO167" s="53"/>
      <c r="AP167" s="53"/>
      <c r="AQ167" s="53"/>
      <c r="AR167" s="53"/>
      <c r="AS167" s="518"/>
      <c r="AT167" s="53"/>
      <c r="AU167" s="53"/>
      <c r="AV167" s="53"/>
      <c r="AW167" s="53"/>
      <c r="AX167" s="518"/>
      <c r="AY167" s="53"/>
      <c r="AZ167" s="53"/>
      <c r="BA167" s="53"/>
      <c r="BB167" s="53"/>
      <c r="BC167" s="518"/>
      <c r="BD167" s="53"/>
      <c r="BE167" s="53"/>
      <c r="BF167" s="53"/>
      <c r="BG167" s="53"/>
      <c r="BH167" s="518"/>
      <c r="BI167" s="53"/>
      <c r="BJ167" s="53"/>
      <c r="BK167" s="53"/>
      <c r="BL167" s="53"/>
      <c r="BM167" s="518"/>
      <c r="BN167" s="53"/>
      <c r="BO167" s="53"/>
      <c r="BP167" s="53"/>
      <c r="BQ167" s="53"/>
      <c r="BR167" s="518"/>
      <c r="BS167" s="53"/>
      <c r="BT167" s="53"/>
      <c r="BU167" s="53"/>
      <c r="BV167" s="53"/>
      <c r="BW167" s="465"/>
      <c r="BZ167" s="410"/>
      <c r="CA167" s="410"/>
    </row>
    <row r="168" spans="1:79" ht="12.75" customHeight="1" x14ac:dyDescent="0.2">
      <c r="A168" s="377"/>
      <c r="B168" s="377"/>
      <c r="D168" s="465" t="s">
        <v>409</v>
      </c>
      <c r="F168" s="377"/>
      <c r="G168" s="53">
        <f>SUM(G169:G171)</f>
        <v>0</v>
      </c>
      <c r="H168" s="53"/>
      <c r="I168" s="53"/>
      <c r="J168" s="518"/>
      <c r="K168" s="53"/>
      <c r="L168" s="53">
        <f>SUM(L169:L171)</f>
        <v>3019000</v>
      </c>
      <c r="M168" s="53"/>
      <c r="N168" s="53"/>
      <c r="O168" s="518"/>
      <c r="P168" s="53"/>
      <c r="Q168" s="53">
        <f>SUM(Q169:Q171)</f>
        <v>0</v>
      </c>
      <c r="R168" s="53"/>
      <c r="S168" s="53"/>
      <c r="T168" s="518"/>
      <c r="U168" s="53"/>
      <c r="V168" s="53">
        <f>SUM(V169:V171)</f>
        <v>4198000</v>
      </c>
      <c r="W168" s="53"/>
      <c r="X168" s="53"/>
      <c r="Y168" s="518"/>
      <c r="Z168" s="53"/>
      <c r="AA168" s="53">
        <f>SUM(AA169:AA171)</f>
        <v>4397000</v>
      </c>
      <c r="AB168" s="53"/>
      <c r="AC168" s="53"/>
      <c r="AD168" s="518"/>
      <c r="AE168" s="53"/>
      <c r="AF168" s="53">
        <f>SUM(AF169:AF171)</f>
        <v>3698000</v>
      </c>
      <c r="AG168" s="53"/>
      <c r="AH168" s="53"/>
      <c r="AI168" s="518"/>
      <c r="AJ168" s="53"/>
      <c r="AK168" s="53">
        <f>SUM(AK169:AK171)</f>
        <v>4400000</v>
      </c>
      <c r="AL168" s="53"/>
      <c r="AM168" s="53"/>
      <c r="AN168" s="518"/>
      <c r="AO168" s="53"/>
      <c r="AP168" s="53">
        <f>SUM(AP169:AP171)</f>
        <v>0</v>
      </c>
      <c r="AQ168" s="53"/>
      <c r="AR168" s="53"/>
      <c r="AS168" s="518"/>
      <c r="AT168" s="53"/>
      <c r="AU168" s="53">
        <f>SUM(AU169:AU171)</f>
        <v>0</v>
      </c>
      <c r="AV168" s="53"/>
      <c r="AW168" s="53"/>
      <c r="AX168" s="518"/>
      <c r="AY168" s="53"/>
      <c r="AZ168" s="53">
        <f>SUM(AZ169:AZ171)</f>
        <v>0</v>
      </c>
      <c r="BA168" s="53"/>
      <c r="BB168" s="53"/>
      <c r="BC168" s="518"/>
      <c r="BD168" s="53"/>
      <c r="BE168" s="53">
        <f>SUM(BE169:BE171)</f>
        <v>0</v>
      </c>
      <c r="BF168" s="53"/>
      <c r="BG168" s="53"/>
      <c r="BH168" s="518"/>
      <c r="BI168" s="53"/>
      <c r="BJ168" s="53">
        <f>SUM(BJ169:BJ171)</f>
        <v>0</v>
      </c>
      <c r="BK168" s="53"/>
      <c r="BL168" s="53"/>
      <c r="BM168" s="518"/>
      <c r="BN168" s="53"/>
      <c r="BO168" s="53">
        <f>SUM(BO169:BO171)</f>
        <v>0</v>
      </c>
      <c r="BP168" s="53"/>
      <c r="BQ168" s="53"/>
      <c r="BR168" s="518"/>
      <c r="BS168" s="53"/>
      <c r="BT168" s="53">
        <f>SUM(BT169:BT171)</f>
        <v>19712000</v>
      </c>
      <c r="BU168" s="53"/>
      <c r="BV168" s="53"/>
      <c r="BW168" s="465"/>
      <c r="BZ168" s="410"/>
      <c r="CA168" s="410"/>
    </row>
    <row r="169" spans="1:79" ht="12.75" customHeight="1" x14ac:dyDescent="0.2">
      <c r="A169" s="377"/>
      <c r="B169" s="377"/>
      <c r="D169" s="465" t="s">
        <v>378</v>
      </c>
      <c r="F169" s="469"/>
      <c r="G169" s="520">
        <v>0</v>
      </c>
      <c r="H169" s="521"/>
      <c r="I169" s="53"/>
      <c r="J169" s="518"/>
      <c r="K169" s="519"/>
      <c r="L169" s="520">
        <f>3019000-705765</f>
        <v>2313235</v>
      </c>
      <c r="M169" s="521"/>
      <c r="N169" s="53"/>
      <c r="O169" s="518"/>
      <c r="P169" s="519"/>
      <c r="Q169" s="520">
        <v>0</v>
      </c>
      <c r="R169" s="521"/>
      <c r="S169" s="53"/>
      <c r="T169" s="518"/>
      <c r="U169" s="519"/>
      <c r="V169" s="520">
        <f>4198000-671900</f>
        <v>3526100</v>
      </c>
      <c r="W169" s="521"/>
      <c r="X169" s="53"/>
      <c r="Y169" s="518"/>
      <c r="Z169" s="519"/>
      <c r="AA169" s="520">
        <f>4397000-939132</f>
        <v>3457868</v>
      </c>
      <c r="AB169" s="521"/>
      <c r="AC169" s="53"/>
      <c r="AD169" s="518"/>
      <c r="AE169" s="519"/>
      <c r="AF169" s="520">
        <f>3698000-763219</f>
        <v>2934781</v>
      </c>
      <c r="AG169" s="521"/>
      <c r="AH169" s="53"/>
      <c r="AI169" s="518"/>
      <c r="AJ169" s="519"/>
      <c r="AK169" s="520">
        <f>4400000-879677</f>
        <v>3520323</v>
      </c>
      <c r="AL169" s="521"/>
      <c r="AM169" s="53"/>
      <c r="AN169" s="518"/>
      <c r="AO169" s="519"/>
      <c r="AP169" s="520">
        <v>0</v>
      </c>
      <c r="AQ169" s="521"/>
      <c r="AR169" s="53"/>
      <c r="AS169" s="518"/>
      <c r="AT169" s="519"/>
      <c r="AU169" s="520">
        <v>0</v>
      </c>
      <c r="AV169" s="521"/>
      <c r="AW169" s="53"/>
      <c r="AX169" s="518"/>
      <c r="AY169" s="519"/>
      <c r="AZ169" s="520">
        <v>0</v>
      </c>
      <c r="BA169" s="521"/>
      <c r="BB169" s="53"/>
      <c r="BC169" s="518"/>
      <c r="BD169" s="519"/>
      <c r="BE169" s="520">
        <v>0</v>
      </c>
      <c r="BF169" s="521"/>
      <c r="BG169" s="53"/>
      <c r="BH169" s="518"/>
      <c r="BI169" s="519"/>
      <c r="BJ169" s="520">
        <v>0</v>
      </c>
      <c r="BK169" s="521"/>
      <c r="BL169" s="53"/>
      <c r="BM169" s="518"/>
      <c r="BN169" s="519"/>
      <c r="BO169" s="520">
        <v>0</v>
      </c>
      <c r="BP169" s="521"/>
      <c r="BQ169" s="53"/>
      <c r="BR169" s="518"/>
      <c r="BS169" s="519"/>
      <c r="BT169" s="520">
        <f>SUM(L169:BO169)</f>
        <v>15752307</v>
      </c>
      <c r="BU169" s="521"/>
      <c r="BV169" s="53"/>
      <c r="BW169" s="465"/>
      <c r="BZ169" s="410"/>
      <c r="CA169" s="410"/>
    </row>
    <row r="170" spans="1:79" ht="12.75" customHeight="1" x14ac:dyDescent="0.2">
      <c r="A170" s="377"/>
      <c r="B170" s="377"/>
      <c r="D170" s="465" t="s">
        <v>380</v>
      </c>
      <c r="F170" s="417"/>
      <c r="G170" s="53">
        <v>0</v>
      </c>
      <c r="H170" s="52"/>
      <c r="I170" s="53"/>
      <c r="J170" s="518"/>
      <c r="K170" s="518"/>
      <c r="L170" s="53">
        <v>705765</v>
      </c>
      <c r="M170" s="52"/>
      <c r="N170" s="53"/>
      <c r="O170" s="518"/>
      <c r="P170" s="518"/>
      <c r="Q170" s="53">
        <v>0</v>
      </c>
      <c r="R170" s="52"/>
      <c r="S170" s="53"/>
      <c r="T170" s="518"/>
      <c r="U170" s="518"/>
      <c r="V170" s="53">
        <v>671900</v>
      </c>
      <c r="W170" s="52"/>
      <c r="X170" s="53"/>
      <c r="Y170" s="518"/>
      <c r="Z170" s="518"/>
      <c r="AA170" s="53">
        <v>939132</v>
      </c>
      <c r="AB170" s="52"/>
      <c r="AC170" s="53"/>
      <c r="AD170" s="518"/>
      <c r="AE170" s="518"/>
      <c r="AF170" s="53">
        <v>763219</v>
      </c>
      <c r="AG170" s="52"/>
      <c r="AH170" s="53"/>
      <c r="AI170" s="518"/>
      <c r="AJ170" s="518"/>
      <c r="AK170" s="53">
        <v>879677</v>
      </c>
      <c r="AL170" s="52"/>
      <c r="AM170" s="53"/>
      <c r="AN170" s="518"/>
      <c r="AO170" s="518"/>
      <c r="AP170" s="53">
        <v>0</v>
      </c>
      <c r="AQ170" s="52"/>
      <c r="AR170" s="53"/>
      <c r="AS170" s="518"/>
      <c r="AT170" s="518"/>
      <c r="AU170" s="53">
        <v>0</v>
      </c>
      <c r="AV170" s="52"/>
      <c r="AW170" s="53"/>
      <c r="AX170" s="518"/>
      <c r="AY170" s="518"/>
      <c r="AZ170" s="53">
        <v>0</v>
      </c>
      <c r="BA170" s="52"/>
      <c r="BB170" s="53"/>
      <c r="BC170" s="518"/>
      <c r="BD170" s="518"/>
      <c r="BE170" s="53">
        <v>0</v>
      </c>
      <c r="BF170" s="52"/>
      <c r="BG170" s="53"/>
      <c r="BH170" s="518"/>
      <c r="BI170" s="518"/>
      <c r="BJ170" s="53">
        <v>0</v>
      </c>
      <c r="BK170" s="52"/>
      <c r="BL170" s="53"/>
      <c r="BM170" s="518"/>
      <c r="BN170" s="518"/>
      <c r="BO170" s="53">
        <v>0</v>
      </c>
      <c r="BP170" s="52"/>
      <c r="BQ170" s="53"/>
      <c r="BR170" s="518"/>
      <c r="BS170" s="518"/>
      <c r="BT170" s="53">
        <f>SUM(L170:BO170)</f>
        <v>3959693</v>
      </c>
      <c r="BU170" s="52"/>
      <c r="BV170" s="53"/>
      <c r="BW170" s="465"/>
      <c r="BZ170" s="410"/>
      <c r="CA170" s="410"/>
    </row>
    <row r="171" spans="1:79" ht="12.75" customHeight="1" x14ac:dyDescent="0.2">
      <c r="A171" s="377"/>
      <c r="B171" s="377"/>
      <c r="D171" s="465" t="s">
        <v>381</v>
      </c>
      <c r="F171" s="478"/>
      <c r="G171" s="102">
        <v>0</v>
      </c>
      <c r="H171" s="101"/>
      <c r="I171" s="53"/>
      <c r="J171" s="518"/>
      <c r="K171" s="522"/>
      <c r="L171" s="102">
        <v>0</v>
      </c>
      <c r="M171" s="101"/>
      <c r="N171" s="53"/>
      <c r="O171" s="518"/>
      <c r="P171" s="522"/>
      <c r="Q171" s="102">
        <v>0</v>
      </c>
      <c r="R171" s="101"/>
      <c r="S171" s="53"/>
      <c r="T171" s="518"/>
      <c r="U171" s="522"/>
      <c r="V171" s="102">
        <v>0</v>
      </c>
      <c r="W171" s="101"/>
      <c r="X171" s="53"/>
      <c r="Y171" s="518"/>
      <c r="Z171" s="522"/>
      <c r="AA171" s="102">
        <v>0</v>
      </c>
      <c r="AB171" s="101"/>
      <c r="AC171" s="53"/>
      <c r="AD171" s="518"/>
      <c r="AE171" s="522"/>
      <c r="AF171" s="102">
        <v>0</v>
      </c>
      <c r="AG171" s="101"/>
      <c r="AH171" s="53"/>
      <c r="AI171" s="518"/>
      <c r="AJ171" s="522"/>
      <c r="AK171" s="102">
        <v>0</v>
      </c>
      <c r="AL171" s="101"/>
      <c r="AM171" s="53"/>
      <c r="AN171" s="518"/>
      <c r="AO171" s="522"/>
      <c r="AP171" s="102">
        <v>0</v>
      </c>
      <c r="AQ171" s="101"/>
      <c r="AR171" s="53"/>
      <c r="AS171" s="518"/>
      <c r="AT171" s="522"/>
      <c r="AU171" s="102">
        <v>0</v>
      </c>
      <c r="AV171" s="101"/>
      <c r="AW171" s="53"/>
      <c r="AX171" s="518"/>
      <c r="AY171" s="522"/>
      <c r="AZ171" s="102">
        <v>0</v>
      </c>
      <c r="BA171" s="101"/>
      <c r="BB171" s="53"/>
      <c r="BC171" s="518"/>
      <c r="BD171" s="522"/>
      <c r="BE171" s="102">
        <v>0</v>
      </c>
      <c r="BF171" s="101"/>
      <c r="BG171" s="53"/>
      <c r="BH171" s="518"/>
      <c r="BI171" s="522"/>
      <c r="BJ171" s="102">
        <v>0</v>
      </c>
      <c r="BK171" s="101"/>
      <c r="BL171" s="53"/>
      <c r="BM171" s="518"/>
      <c r="BN171" s="522"/>
      <c r="BO171" s="102">
        <v>0</v>
      </c>
      <c r="BP171" s="101"/>
      <c r="BQ171" s="53"/>
      <c r="BR171" s="518"/>
      <c r="BS171" s="522"/>
      <c r="BT171" s="102">
        <f>SUM(L171:BO171)</f>
        <v>0</v>
      </c>
      <c r="BU171" s="101"/>
      <c r="BV171" s="53"/>
      <c r="BW171" s="465"/>
      <c r="BZ171" s="410"/>
      <c r="CA171" s="410"/>
    </row>
    <row r="172" spans="1:79" ht="8.25" customHeight="1" x14ac:dyDescent="0.2">
      <c r="A172" s="377"/>
      <c r="B172" s="377"/>
      <c r="D172" s="465"/>
      <c r="F172" s="377"/>
      <c r="G172" s="53"/>
      <c r="H172" s="53"/>
      <c r="I172" s="53"/>
      <c r="J172" s="518"/>
      <c r="K172" s="53"/>
      <c r="L172" s="53"/>
      <c r="M172" s="53"/>
      <c r="N172" s="53"/>
      <c r="O172" s="518"/>
      <c r="P172" s="53"/>
      <c r="Q172" s="53"/>
      <c r="R172" s="53"/>
      <c r="S172" s="53"/>
      <c r="T172" s="518"/>
      <c r="U172" s="53"/>
      <c r="V172" s="53"/>
      <c r="W172" s="53"/>
      <c r="X172" s="53"/>
      <c r="Y172" s="518"/>
      <c r="Z172" s="53"/>
      <c r="AA172" s="53"/>
      <c r="AB172" s="53"/>
      <c r="AC172" s="53"/>
      <c r="AD172" s="518"/>
      <c r="AE172" s="53"/>
      <c r="AF172" s="53"/>
      <c r="AG172" s="53"/>
      <c r="AH172" s="53"/>
      <c r="AI172" s="518"/>
      <c r="AJ172" s="53"/>
      <c r="AK172" s="53"/>
      <c r="AL172" s="53"/>
      <c r="AM172" s="53"/>
      <c r="AN172" s="518"/>
      <c r="AO172" s="53"/>
      <c r="AP172" s="53"/>
      <c r="AQ172" s="53"/>
      <c r="AR172" s="53"/>
      <c r="AS172" s="518"/>
      <c r="AT172" s="53"/>
      <c r="AU172" s="53"/>
      <c r="AV172" s="53"/>
      <c r="AW172" s="53"/>
      <c r="AX172" s="518"/>
      <c r="AY172" s="53"/>
      <c r="AZ172" s="53"/>
      <c r="BA172" s="53"/>
      <c r="BB172" s="53"/>
      <c r="BC172" s="518"/>
      <c r="BD172" s="53"/>
      <c r="BE172" s="53"/>
      <c r="BF172" s="53"/>
      <c r="BG172" s="53"/>
      <c r="BH172" s="518"/>
      <c r="BI172" s="53"/>
      <c r="BJ172" s="53"/>
      <c r="BK172" s="53"/>
      <c r="BL172" s="53"/>
      <c r="BM172" s="518"/>
      <c r="BN172" s="53"/>
      <c r="BO172" s="53"/>
      <c r="BP172" s="53"/>
      <c r="BQ172" s="53"/>
      <c r="BR172" s="518"/>
      <c r="BS172" s="53"/>
      <c r="BT172" s="53"/>
      <c r="BU172" s="53"/>
      <c r="BV172" s="53"/>
      <c r="BW172" s="465"/>
      <c r="BZ172" s="410"/>
      <c r="CA172" s="410"/>
    </row>
    <row r="173" spans="1:79" ht="12.75" customHeight="1" x14ac:dyDescent="0.2">
      <c r="A173" s="377"/>
      <c r="B173" s="377"/>
      <c r="D173" s="465" t="s">
        <v>410</v>
      </c>
      <c r="F173" s="377"/>
      <c r="G173" s="53">
        <f>SUM(G174:G176)</f>
        <v>0</v>
      </c>
      <c r="H173" s="53"/>
      <c r="I173" s="53"/>
      <c r="J173" s="518"/>
      <c r="K173" s="53"/>
      <c r="L173" s="53">
        <f>SUM(L174:L176)</f>
        <v>0</v>
      </c>
      <c r="M173" s="53"/>
      <c r="N173" s="53"/>
      <c r="O173" s="518"/>
      <c r="P173" s="53"/>
      <c r="Q173" s="53">
        <f>SUM(Q174:Q176)</f>
        <v>0</v>
      </c>
      <c r="R173" s="53"/>
      <c r="S173" s="53"/>
      <c r="T173" s="518"/>
      <c r="U173" s="53"/>
      <c r="V173" s="53">
        <f>SUM(V174:V176)</f>
        <v>0</v>
      </c>
      <c r="W173" s="53"/>
      <c r="X173" s="53"/>
      <c r="Y173" s="518"/>
      <c r="Z173" s="53"/>
      <c r="AA173" s="53">
        <f>SUM(AA174:AA176)</f>
        <v>0</v>
      </c>
      <c r="AB173" s="53"/>
      <c r="AC173" s="53"/>
      <c r="AD173" s="518"/>
      <c r="AE173" s="53"/>
      <c r="AF173" s="53">
        <f>SUM(AF174:AF176)</f>
        <v>2200000</v>
      </c>
      <c r="AG173" s="53"/>
      <c r="AH173" s="53"/>
      <c r="AI173" s="518"/>
      <c r="AJ173" s="53"/>
      <c r="AK173" s="53">
        <f>SUM(AK174:AK176)</f>
        <v>4397000</v>
      </c>
      <c r="AL173" s="53"/>
      <c r="AM173" s="53"/>
      <c r="AN173" s="518"/>
      <c r="AO173" s="53"/>
      <c r="AP173" s="53">
        <f>SUM(AP174:AP176)</f>
        <v>0</v>
      </c>
      <c r="AQ173" s="53"/>
      <c r="AR173" s="53"/>
      <c r="AS173" s="518"/>
      <c r="AT173" s="53"/>
      <c r="AU173" s="53">
        <f>SUM(AU174:AU176)</f>
        <v>0</v>
      </c>
      <c r="AV173" s="53"/>
      <c r="AW173" s="53"/>
      <c r="AX173" s="518"/>
      <c r="AY173" s="53"/>
      <c r="AZ173" s="53">
        <f>SUM(AZ174:AZ176)</f>
        <v>0</v>
      </c>
      <c r="BA173" s="53"/>
      <c r="BB173" s="53"/>
      <c r="BC173" s="518"/>
      <c r="BD173" s="53"/>
      <c r="BE173" s="53">
        <f>SUM(BE174:BE176)</f>
        <v>0</v>
      </c>
      <c r="BF173" s="53"/>
      <c r="BG173" s="53"/>
      <c r="BH173" s="518"/>
      <c r="BI173" s="53"/>
      <c r="BJ173" s="53">
        <f>SUM(BJ174:BJ176)</f>
        <v>0</v>
      </c>
      <c r="BK173" s="53"/>
      <c r="BL173" s="53"/>
      <c r="BM173" s="518"/>
      <c r="BN173" s="53"/>
      <c r="BO173" s="53">
        <f>SUM(BO174:BO176)</f>
        <v>0</v>
      </c>
      <c r="BP173" s="53"/>
      <c r="BQ173" s="53"/>
      <c r="BR173" s="518"/>
      <c r="BS173" s="53"/>
      <c r="BT173" s="53">
        <f>SUM(BT174:BT176)</f>
        <v>6597000</v>
      </c>
      <c r="BU173" s="53"/>
      <c r="BV173" s="53"/>
      <c r="BW173" s="465"/>
      <c r="BZ173" s="410"/>
      <c r="CA173" s="410"/>
    </row>
    <row r="174" spans="1:79" ht="12.75" customHeight="1" x14ac:dyDescent="0.2">
      <c r="A174" s="377"/>
      <c r="B174" s="377"/>
      <c r="D174" s="465" t="s">
        <v>378</v>
      </c>
      <c r="F174" s="469"/>
      <c r="G174" s="520">
        <v>0</v>
      </c>
      <c r="H174" s="521"/>
      <c r="I174" s="53"/>
      <c r="J174" s="518"/>
      <c r="K174" s="519"/>
      <c r="L174" s="520">
        <v>0</v>
      </c>
      <c r="M174" s="521"/>
      <c r="N174" s="53"/>
      <c r="O174" s="518"/>
      <c r="P174" s="519"/>
      <c r="Q174" s="520">
        <v>0</v>
      </c>
      <c r="R174" s="521"/>
      <c r="S174" s="53"/>
      <c r="T174" s="518"/>
      <c r="U174" s="519"/>
      <c r="V174" s="520">
        <v>0</v>
      </c>
      <c r="W174" s="521"/>
      <c r="X174" s="53"/>
      <c r="Y174" s="518"/>
      <c r="Z174" s="519"/>
      <c r="AA174" s="520">
        <v>0</v>
      </c>
      <c r="AB174" s="521"/>
      <c r="AC174" s="53"/>
      <c r="AD174" s="518"/>
      <c r="AE174" s="519"/>
      <c r="AF174" s="520">
        <f>2200000-491030</f>
        <v>1708970</v>
      </c>
      <c r="AG174" s="521"/>
      <c r="AH174" s="53"/>
      <c r="AI174" s="518"/>
      <c r="AJ174" s="519"/>
      <c r="AK174" s="520">
        <f>4397000-926461</f>
        <v>3470539</v>
      </c>
      <c r="AL174" s="521"/>
      <c r="AM174" s="53"/>
      <c r="AN174" s="518"/>
      <c r="AO174" s="519"/>
      <c r="AP174" s="520">
        <v>0</v>
      </c>
      <c r="AQ174" s="521"/>
      <c r="AR174" s="53"/>
      <c r="AS174" s="518"/>
      <c r="AT174" s="519"/>
      <c r="AU174" s="520">
        <v>0</v>
      </c>
      <c r="AV174" s="521"/>
      <c r="AW174" s="53"/>
      <c r="AX174" s="518"/>
      <c r="AY174" s="519"/>
      <c r="AZ174" s="520">
        <v>0</v>
      </c>
      <c r="BA174" s="521"/>
      <c r="BB174" s="53"/>
      <c r="BC174" s="518"/>
      <c r="BD174" s="519"/>
      <c r="BE174" s="520">
        <v>0</v>
      </c>
      <c r="BF174" s="521"/>
      <c r="BG174" s="53"/>
      <c r="BH174" s="518"/>
      <c r="BI174" s="519"/>
      <c r="BJ174" s="520">
        <v>0</v>
      </c>
      <c r="BK174" s="521"/>
      <c r="BL174" s="53"/>
      <c r="BM174" s="518"/>
      <c r="BN174" s="519"/>
      <c r="BO174" s="520">
        <v>0</v>
      </c>
      <c r="BP174" s="521"/>
      <c r="BQ174" s="53"/>
      <c r="BR174" s="518"/>
      <c r="BS174" s="519"/>
      <c r="BT174" s="520">
        <f>SUM(L174:BO174)</f>
        <v>5179509</v>
      </c>
      <c r="BU174" s="521"/>
      <c r="BV174" s="53"/>
      <c r="BW174" s="465"/>
      <c r="BZ174" s="410"/>
      <c r="CA174" s="410"/>
    </row>
    <row r="175" spans="1:79" ht="12.75" customHeight="1" x14ac:dyDescent="0.2">
      <c r="A175" s="377"/>
      <c r="B175" s="377"/>
      <c r="D175" s="465" t="s">
        <v>380</v>
      </c>
      <c r="F175" s="417"/>
      <c r="G175" s="53">
        <v>0</v>
      </c>
      <c r="H175" s="52"/>
      <c r="I175" s="53"/>
      <c r="J175" s="518"/>
      <c r="K175" s="518"/>
      <c r="L175" s="53">
        <v>0</v>
      </c>
      <c r="M175" s="52"/>
      <c r="N175" s="53"/>
      <c r="O175" s="518"/>
      <c r="P175" s="518"/>
      <c r="Q175" s="53">
        <v>0</v>
      </c>
      <c r="R175" s="52"/>
      <c r="S175" s="53"/>
      <c r="T175" s="518"/>
      <c r="U175" s="518"/>
      <c r="V175" s="53">
        <v>0</v>
      </c>
      <c r="W175" s="52"/>
      <c r="X175" s="53"/>
      <c r="Y175" s="518"/>
      <c r="Z175" s="518"/>
      <c r="AA175" s="53">
        <v>0</v>
      </c>
      <c r="AB175" s="52"/>
      <c r="AC175" s="53"/>
      <c r="AD175" s="518"/>
      <c r="AE175" s="518"/>
      <c r="AF175" s="53">
        <v>491030</v>
      </c>
      <c r="AG175" s="52"/>
      <c r="AH175" s="53"/>
      <c r="AI175" s="518"/>
      <c r="AJ175" s="518"/>
      <c r="AK175" s="53">
        <v>926461</v>
      </c>
      <c r="AL175" s="52"/>
      <c r="AM175" s="53"/>
      <c r="AN175" s="518"/>
      <c r="AO175" s="518"/>
      <c r="AP175" s="53">
        <v>0</v>
      </c>
      <c r="AQ175" s="52"/>
      <c r="AR175" s="53"/>
      <c r="AS175" s="518"/>
      <c r="AT175" s="518"/>
      <c r="AU175" s="53">
        <v>0</v>
      </c>
      <c r="AV175" s="52"/>
      <c r="AW175" s="53"/>
      <c r="AX175" s="518"/>
      <c r="AY175" s="518"/>
      <c r="AZ175" s="53">
        <v>0</v>
      </c>
      <c r="BA175" s="52"/>
      <c r="BB175" s="53"/>
      <c r="BC175" s="518"/>
      <c r="BD175" s="518"/>
      <c r="BE175" s="53">
        <v>0</v>
      </c>
      <c r="BF175" s="52"/>
      <c r="BG175" s="53"/>
      <c r="BH175" s="518"/>
      <c r="BI175" s="518"/>
      <c r="BJ175" s="53">
        <v>0</v>
      </c>
      <c r="BK175" s="52"/>
      <c r="BL175" s="53"/>
      <c r="BM175" s="518"/>
      <c r="BN175" s="518"/>
      <c r="BO175" s="53">
        <v>0</v>
      </c>
      <c r="BP175" s="52"/>
      <c r="BQ175" s="53"/>
      <c r="BR175" s="518"/>
      <c r="BS175" s="518"/>
      <c r="BT175" s="53">
        <f>SUM(L175:BO175)</f>
        <v>1417491</v>
      </c>
      <c r="BU175" s="52"/>
      <c r="BV175" s="53"/>
      <c r="BW175" s="465"/>
      <c r="BZ175" s="410"/>
      <c r="CA175" s="410"/>
    </row>
    <row r="176" spans="1:79" ht="12.75" customHeight="1" x14ac:dyDescent="0.2">
      <c r="A176" s="377"/>
      <c r="B176" s="377"/>
      <c r="D176" s="465" t="s">
        <v>381</v>
      </c>
      <c r="F176" s="478"/>
      <c r="G176" s="102">
        <v>0</v>
      </c>
      <c r="H176" s="101"/>
      <c r="I176" s="53"/>
      <c r="J176" s="518"/>
      <c r="K176" s="522"/>
      <c r="L176" s="102">
        <v>0</v>
      </c>
      <c r="M176" s="101"/>
      <c r="N176" s="53"/>
      <c r="O176" s="518"/>
      <c r="P176" s="522"/>
      <c r="Q176" s="102">
        <v>0</v>
      </c>
      <c r="R176" s="101"/>
      <c r="S176" s="53"/>
      <c r="T176" s="518"/>
      <c r="U176" s="522"/>
      <c r="V176" s="102">
        <v>0</v>
      </c>
      <c r="W176" s="101"/>
      <c r="X176" s="53"/>
      <c r="Y176" s="518"/>
      <c r="Z176" s="522"/>
      <c r="AA176" s="102">
        <v>0</v>
      </c>
      <c r="AB176" s="101"/>
      <c r="AC176" s="53"/>
      <c r="AD176" s="518"/>
      <c r="AE176" s="522"/>
      <c r="AF176" s="102">
        <v>0</v>
      </c>
      <c r="AG176" s="101"/>
      <c r="AH176" s="53"/>
      <c r="AI176" s="518"/>
      <c r="AJ176" s="522"/>
      <c r="AK176" s="102">
        <v>0</v>
      </c>
      <c r="AL176" s="101"/>
      <c r="AM176" s="53"/>
      <c r="AN176" s="518"/>
      <c r="AO176" s="522"/>
      <c r="AP176" s="102">
        <v>0</v>
      </c>
      <c r="AQ176" s="101"/>
      <c r="AR176" s="53"/>
      <c r="AS176" s="518"/>
      <c r="AT176" s="522"/>
      <c r="AU176" s="102">
        <v>0</v>
      </c>
      <c r="AV176" s="101"/>
      <c r="AW176" s="53"/>
      <c r="AX176" s="518"/>
      <c r="AY176" s="522"/>
      <c r="AZ176" s="102">
        <v>0</v>
      </c>
      <c r="BA176" s="101"/>
      <c r="BB176" s="53"/>
      <c r="BC176" s="518"/>
      <c r="BD176" s="522"/>
      <c r="BE176" s="102">
        <v>0</v>
      </c>
      <c r="BF176" s="101"/>
      <c r="BG176" s="53"/>
      <c r="BH176" s="518"/>
      <c r="BI176" s="522"/>
      <c r="BJ176" s="102">
        <v>0</v>
      </c>
      <c r="BK176" s="101"/>
      <c r="BL176" s="53"/>
      <c r="BM176" s="518"/>
      <c r="BN176" s="522"/>
      <c r="BO176" s="102">
        <v>0</v>
      </c>
      <c r="BP176" s="101"/>
      <c r="BQ176" s="53"/>
      <c r="BR176" s="518"/>
      <c r="BS176" s="522"/>
      <c r="BT176" s="102">
        <f>SUM(L176:BO176)</f>
        <v>0</v>
      </c>
      <c r="BU176" s="101"/>
      <c r="BV176" s="53"/>
      <c r="BW176" s="465"/>
      <c r="BZ176" s="410"/>
      <c r="CA176" s="410"/>
    </row>
    <row r="177" spans="1:79" ht="9" customHeight="1" x14ac:dyDescent="0.2">
      <c r="A177" s="377"/>
      <c r="B177" s="377"/>
      <c r="D177" s="465"/>
      <c r="F177" s="377"/>
      <c r="G177" s="53"/>
      <c r="H177" s="53"/>
      <c r="I177" s="53"/>
      <c r="J177" s="518"/>
      <c r="K177" s="53"/>
      <c r="L177" s="53"/>
      <c r="M177" s="53"/>
      <c r="N177" s="53"/>
      <c r="O177" s="518"/>
      <c r="P177" s="53"/>
      <c r="Q177" s="53"/>
      <c r="R177" s="53"/>
      <c r="S177" s="53"/>
      <c r="T177" s="518"/>
      <c r="U177" s="53"/>
      <c r="V177" s="53"/>
      <c r="W177" s="53"/>
      <c r="X177" s="53"/>
      <c r="Y177" s="518"/>
      <c r="Z177" s="53"/>
      <c r="AA177" s="53"/>
      <c r="AB177" s="53"/>
      <c r="AC177" s="53"/>
      <c r="AD177" s="518"/>
      <c r="AE177" s="53"/>
      <c r="AF177" s="53"/>
      <c r="AG177" s="53"/>
      <c r="AH177" s="53"/>
      <c r="AI177" s="518"/>
      <c r="AJ177" s="53"/>
      <c r="AK177" s="53"/>
      <c r="AL177" s="53"/>
      <c r="AM177" s="53"/>
      <c r="AN177" s="518"/>
      <c r="AO177" s="53"/>
      <c r="AP177" s="53"/>
      <c r="AQ177" s="53"/>
      <c r="AR177" s="53"/>
      <c r="AS177" s="518"/>
      <c r="AT177" s="53"/>
      <c r="AU177" s="53"/>
      <c r="AV177" s="53"/>
      <c r="AW177" s="53"/>
      <c r="AX177" s="518"/>
      <c r="AY177" s="53"/>
      <c r="AZ177" s="53"/>
      <c r="BA177" s="53"/>
      <c r="BB177" s="53"/>
      <c r="BC177" s="518"/>
      <c r="BD177" s="53"/>
      <c r="BE177" s="53"/>
      <c r="BF177" s="53"/>
      <c r="BG177" s="53"/>
      <c r="BH177" s="518"/>
      <c r="BI177" s="53"/>
      <c r="BJ177" s="53"/>
      <c r="BK177" s="53"/>
      <c r="BL177" s="53"/>
      <c r="BM177" s="518"/>
      <c r="BN177" s="53"/>
      <c r="BO177" s="53"/>
      <c r="BP177" s="53"/>
      <c r="BQ177" s="53"/>
      <c r="BR177" s="518"/>
      <c r="BS177" s="53"/>
      <c r="BT177" s="53"/>
      <c r="BU177" s="53"/>
      <c r="BV177" s="53"/>
      <c r="BW177" s="465"/>
      <c r="BZ177" s="410"/>
      <c r="CA177" s="410"/>
    </row>
    <row r="178" spans="1:79" ht="12.75" customHeight="1" x14ac:dyDescent="0.2">
      <c r="A178" s="377"/>
      <c r="B178" s="377"/>
      <c r="D178" s="465" t="s">
        <v>411</v>
      </c>
      <c r="F178" s="377"/>
      <c r="G178" s="53">
        <f>SUM(G179:G181)</f>
        <v>0</v>
      </c>
      <c r="H178" s="53"/>
      <c r="I178" s="53"/>
      <c r="J178" s="518"/>
      <c r="K178" s="53"/>
      <c r="L178" s="53">
        <f>SUM(L179:L181)</f>
        <v>0</v>
      </c>
      <c r="M178" s="53"/>
      <c r="N178" s="53"/>
      <c r="O178" s="518"/>
      <c r="P178" s="53"/>
      <c r="Q178" s="53">
        <f>SUM(Q179:Q181)</f>
        <v>0</v>
      </c>
      <c r="R178" s="53"/>
      <c r="S178" s="53"/>
      <c r="T178" s="518"/>
      <c r="U178" s="53"/>
      <c r="V178" s="53">
        <f>SUM(V179:V181)</f>
        <v>5309000</v>
      </c>
      <c r="W178" s="53"/>
      <c r="X178" s="53"/>
      <c r="Y178" s="518"/>
      <c r="Z178" s="53"/>
      <c r="AA178" s="53">
        <f>SUM(AA179:AA181)</f>
        <v>7690000</v>
      </c>
      <c r="AB178" s="53"/>
      <c r="AC178" s="53"/>
      <c r="AD178" s="518"/>
      <c r="AE178" s="53"/>
      <c r="AF178" s="53">
        <f>SUM(AF179:AF181)</f>
        <v>7528000</v>
      </c>
      <c r="AG178" s="53"/>
      <c r="AH178" s="53"/>
      <c r="AI178" s="518"/>
      <c r="AJ178" s="53"/>
      <c r="AK178" s="53">
        <f>SUM(AK179:AK181)</f>
        <v>8637000</v>
      </c>
      <c r="AL178" s="53"/>
      <c r="AM178" s="53"/>
      <c r="AN178" s="518"/>
      <c r="AO178" s="53"/>
      <c r="AP178" s="53">
        <f>SUM(AP179:AP181)</f>
        <v>0</v>
      </c>
      <c r="AQ178" s="53"/>
      <c r="AR178" s="53"/>
      <c r="AS178" s="518"/>
      <c r="AT178" s="53"/>
      <c r="AU178" s="53">
        <f>SUM(AU179:AU181)</f>
        <v>0</v>
      </c>
      <c r="AV178" s="53"/>
      <c r="AW178" s="53"/>
      <c r="AX178" s="518"/>
      <c r="AY178" s="53"/>
      <c r="AZ178" s="53">
        <f>SUM(AZ179:AZ181)</f>
        <v>0</v>
      </c>
      <c r="BA178" s="53"/>
      <c r="BB178" s="53"/>
      <c r="BC178" s="518"/>
      <c r="BD178" s="53"/>
      <c r="BE178" s="53">
        <f>SUM(BE179:BE181)</f>
        <v>0</v>
      </c>
      <c r="BF178" s="53"/>
      <c r="BG178" s="53"/>
      <c r="BH178" s="518"/>
      <c r="BI178" s="53"/>
      <c r="BJ178" s="53">
        <f>SUM(BJ179:BJ181)</f>
        <v>0</v>
      </c>
      <c r="BK178" s="53"/>
      <c r="BL178" s="53"/>
      <c r="BM178" s="518"/>
      <c r="BN178" s="53"/>
      <c r="BO178" s="53">
        <f>SUM(BO179:BO181)</f>
        <v>0</v>
      </c>
      <c r="BP178" s="53"/>
      <c r="BQ178" s="53"/>
      <c r="BR178" s="518"/>
      <c r="BS178" s="53"/>
      <c r="BT178" s="53">
        <f>SUM(BT179:BT181)</f>
        <v>29164000</v>
      </c>
      <c r="BU178" s="53"/>
      <c r="BV178" s="53"/>
      <c r="BW178" s="465"/>
      <c r="BZ178" s="410"/>
      <c r="CA178" s="410"/>
    </row>
    <row r="179" spans="1:79" ht="12.75" customHeight="1" x14ac:dyDescent="0.2">
      <c r="A179" s="377"/>
      <c r="B179" s="377"/>
      <c r="D179" s="465" t="s">
        <v>378</v>
      </c>
      <c r="F179" s="469"/>
      <c r="G179" s="520">
        <v>0</v>
      </c>
      <c r="H179" s="521"/>
      <c r="I179" s="53"/>
      <c r="J179" s="518"/>
      <c r="K179" s="519"/>
      <c r="L179" s="520">
        <v>0</v>
      </c>
      <c r="M179" s="521"/>
      <c r="N179" s="53"/>
      <c r="O179" s="518"/>
      <c r="P179" s="519"/>
      <c r="Q179" s="520">
        <v>0</v>
      </c>
      <c r="R179" s="521"/>
      <c r="S179" s="53"/>
      <c r="T179" s="518"/>
      <c r="U179" s="519"/>
      <c r="V179" s="520">
        <f>5309000-1128214</f>
        <v>4180786</v>
      </c>
      <c r="W179" s="521"/>
      <c r="X179" s="53"/>
      <c r="Y179" s="518"/>
      <c r="Z179" s="519"/>
      <c r="AA179" s="520">
        <f>7690000-1853447</f>
        <v>5836553</v>
      </c>
      <c r="AB179" s="521"/>
      <c r="AC179" s="53"/>
      <c r="AD179" s="518"/>
      <c r="AE179" s="519"/>
      <c r="AF179" s="520">
        <f>7528000-1710198</f>
        <v>5817802</v>
      </c>
      <c r="AG179" s="521"/>
      <c r="AH179" s="53"/>
      <c r="AI179" s="518"/>
      <c r="AJ179" s="519"/>
      <c r="AK179" s="520">
        <f>8637000-1926090</f>
        <v>6710910</v>
      </c>
      <c r="AL179" s="521"/>
      <c r="AM179" s="53"/>
      <c r="AN179" s="518"/>
      <c r="AO179" s="519"/>
      <c r="AP179" s="520">
        <v>0</v>
      </c>
      <c r="AQ179" s="521"/>
      <c r="AR179" s="53"/>
      <c r="AS179" s="518"/>
      <c r="AT179" s="519"/>
      <c r="AU179" s="520">
        <v>0</v>
      </c>
      <c r="AV179" s="521"/>
      <c r="AW179" s="53"/>
      <c r="AX179" s="518"/>
      <c r="AY179" s="519"/>
      <c r="AZ179" s="520">
        <v>0</v>
      </c>
      <c r="BA179" s="521"/>
      <c r="BB179" s="53"/>
      <c r="BC179" s="518"/>
      <c r="BD179" s="519"/>
      <c r="BE179" s="520">
        <v>0</v>
      </c>
      <c r="BF179" s="521"/>
      <c r="BG179" s="53"/>
      <c r="BH179" s="518"/>
      <c r="BI179" s="519"/>
      <c r="BJ179" s="520">
        <v>0</v>
      </c>
      <c r="BK179" s="521"/>
      <c r="BL179" s="53"/>
      <c r="BM179" s="518"/>
      <c r="BN179" s="519"/>
      <c r="BO179" s="520">
        <v>0</v>
      </c>
      <c r="BP179" s="521"/>
      <c r="BQ179" s="53"/>
      <c r="BR179" s="518"/>
      <c r="BS179" s="519"/>
      <c r="BT179" s="520">
        <f>SUM(L179:BO179)</f>
        <v>22546051</v>
      </c>
      <c r="BU179" s="521"/>
      <c r="BV179" s="53"/>
      <c r="BW179" s="465"/>
      <c r="BZ179" s="410"/>
      <c r="CA179" s="410"/>
    </row>
    <row r="180" spans="1:79" ht="12.75" customHeight="1" x14ac:dyDescent="0.2">
      <c r="A180" s="377"/>
      <c r="B180" s="377"/>
      <c r="D180" s="465" t="s">
        <v>380</v>
      </c>
      <c r="F180" s="417"/>
      <c r="G180" s="53">
        <v>0</v>
      </c>
      <c r="H180" s="52"/>
      <c r="I180" s="53"/>
      <c r="J180" s="518"/>
      <c r="K180" s="518"/>
      <c r="L180" s="53">
        <v>0</v>
      </c>
      <c r="M180" s="52"/>
      <c r="N180" s="53"/>
      <c r="O180" s="518"/>
      <c r="P180" s="518"/>
      <c r="Q180" s="53">
        <v>0</v>
      </c>
      <c r="R180" s="52"/>
      <c r="S180" s="53"/>
      <c r="T180" s="518"/>
      <c r="U180" s="518"/>
      <c r="V180" s="53">
        <v>1128214</v>
      </c>
      <c r="W180" s="52"/>
      <c r="X180" s="53"/>
      <c r="Y180" s="518"/>
      <c r="Z180" s="518"/>
      <c r="AA180" s="53">
        <v>1853447</v>
      </c>
      <c r="AB180" s="52"/>
      <c r="AC180" s="53"/>
      <c r="AD180" s="518"/>
      <c r="AE180" s="518"/>
      <c r="AF180" s="53">
        <v>1710198</v>
      </c>
      <c r="AG180" s="52"/>
      <c r="AH180" s="53"/>
      <c r="AI180" s="518"/>
      <c r="AJ180" s="518"/>
      <c r="AK180" s="53">
        <v>1926090</v>
      </c>
      <c r="AL180" s="52"/>
      <c r="AM180" s="53"/>
      <c r="AN180" s="518"/>
      <c r="AO180" s="518"/>
      <c r="AP180" s="53">
        <v>0</v>
      </c>
      <c r="AQ180" s="52"/>
      <c r="AR180" s="53"/>
      <c r="AS180" s="518"/>
      <c r="AT180" s="518"/>
      <c r="AU180" s="53">
        <v>0</v>
      </c>
      <c r="AV180" s="52"/>
      <c r="AW180" s="53"/>
      <c r="AX180" s="518"/>
      <c r="AY180" s="518"/>
      <c r="AZ180" s="53">
        <v>0</v>
      </c>
      <c r="BA180" s="52"/>
      <c r="BB180" s="53"/>
      <c r="BC180" s="518"/>
      <c r="BD180" s="518"/>
      <c r="BE180" s="53">
        <v>0</v>
      </c>
      <c r="BF180" s="52"/>
      <c r="BG180" s="53"/>
      <c r="BH180" s="518"/>
      <c r="BI180" s="518"/>
      <c r="BJ180" s="53">
        <v>0</v>
      </c>
      <c r="BK180" s="52"/>
      <c r="BL180" s="53"/>
      <c r="BM180" s="518"/>
      <c r="BN180" s="518"/>
      <c r="BO180" s="53">
        <v>0</v>
      </c>
      <c r="BP180" s="52"/>
      <c r="BQ180" s="53"/>
      <c r="BR180" s="518"/>
      <c r="BS180" s="518"/>
      <c r="BT180" s="53">
        <f>SUM(L180:BO180)</f>
        <v>6617949</v>
      </c>
      <c r="BU180" s="52"/>
      <c r="BV180" s="53"/>
      <c r="BW180" s="465"/>
      <c r="BZ180" s="410"/>
      <c r="CA180" s="410"/>
    </row>
    <row r="181" spans="1:79" ht="12.75" customHeight="1" x14ac:dyDescent="0.2">
      <c r="A181" s="377"/>
      <c r="B181" s="377"/>
      <c r="D181" s="465" t="s">
        <v>381</v>
      </c>
      <c r="F181" s="478"/>
      <c r="G181" s="102">
        <v>0</v>
      </c>
      <c r="H181" s="101"/>
      <c r="I181" s="53"/>
      <c r="J181" s="518"/>
      <c r="K181" s="522"/>
      <c r="L181" s="102">
        <v>0</v>
      </c>
      <c r="M181" s="101"/>
      <c r="N181" s="53"/>
      <c r="O181" s="518"/>
      <c r="P181" s="522"/>
      <c r="Q181" s="102">
        <v>0</v>
      </c>
      <c r="R181" s="101"/>
      <c r="S181" s="53"/>
      <c r="T181" s="518"/>
      <c r="U181" s="522"/>
      <c r="V181" s="102">
        <v>0</v>
      </c>
      <c r="W181" s="101"/>
      <c r="X181" s="53"/>
      <c r="Y181" s="518"/>
      <c r="Z181" s="522"/>
      <c r="AA181" s="102">
        <v>0</v>
      </c>
      <c r="AB181" s="101"/>
      <c r="AC181" s="53"/>
      <c r="AD181" s="518"/>
      <c r="AE181" s="522"/>
      <c r="AF181" s="102">
        <v>0</v>
      </c>
      <c r="AG181" s="101"/>
      <c r="AH181" s="53"/>
      <c r="AI181" s="518"/>
      <c r="AJ181" s="522"/>
      <c r="AK181" s="102">
        <v>0</v>
      </c>
      <c r="AL181" s="101"/>
      <c r="AM181" s="53"/>
      <c r="AN181" s="518"/>
      <c r="AO181" s="522"/>
      <c r="AP181" s="102">
        <v>0</v>
      </c>
      <c r="AQ181" s="101"/>
      <c r="AR181" s="53"/>
      <c r="AS181" s="518"/>
      <c r="AT181" s="522"/>
      <c r="AU181" s="102">
        <v>0</v>
      </c>
      <c r="AV181" s="101"/>
      <c r="AW181" s="53"/>
      <c r="AX181" s="518"/>
      <c r="AY181" s="522"/>
      <c r="AZ181" s="102">
        <v>0</v>
      </c>
      <c r="BA181" s="101"/>
      <c r="BB181" s="53"/>
      <c r="BC181" s="518"/>
      <c r="BD181" s="522"/>
      <c r="BE181" s="102">
        <v>0</v>
      </c>
      <c r="BF181" s="101"/>
      <c r="BG181" s="53"/>
      <c r="BH181" s="518"/>
      <c r="BI181" s="522"/>
      <c r="BJ181" s="102">
        <v>0</v>
      </c>
      <c r="BK181" s="101"/>
      <c r="BL181" s="53"/>
      <c r="BM181" s="518"/>
      <c r="BN181" s="522"/>
      <c r="BO181" s="102">
        <v>0</v>
      </c>
      <c r="BP181" s="101"/>
      <c r="BQ181" s="53"/>
      <c r="BR181" s="518"/>
      <c r="BS181" s="522"/>
      <c r="BT181" s="102">
        <f>SUM(L181:BO181)</f>
        <v>0</v>
      </c>
      <c r="BU181" s="101"/>
      <c r="BV181" s="53"/>
      <c r="BW181" s="465"/>
      <c r="BZ181" s="410"/>
      <c r="CA181" s="410"/>
    </row>
    <row r="182" spans="1:79" ht="14.25" customHeight="1" x14ac:dyDescent="0.2">
      <c r="A182" s="377"/>
      <c r="B182" s="377"/>
      <c r="C182" s="377"/>
      <c r="D182" s="567"/>
      <c r="E182" s="535"/>
      <c r="F182" s="448"/>
      <c r="G182" s="111"/>
      <c r="H182" s="111"/>
      <c r="I182" s="111"/>
      <c r="J182" s="536"/>
      <c r="K182" s="111"/>
      <c r="L182" s="111"/>
      <c r="M182" s="111"/>
      <c r="N182" s="111"/>
      <c r="O182" s="536"/>
      <c r="P182" s="111"/>
      <c r="Q182" s="111"/>
      <c r="R182" s="111"/>
      <c r="S182" s="111"/>
      <c r="T182" s="536"/>
      <c r="U182" s="111"/>
      <c r="V182" s="111"/>
      <c r="W182" s="111"/>
      <c r="X182" s="111"/>
      <c r="Y182" s="536"/>
      <c r="Z182" s="111"/>
      <c r="AA182" s="111"/>
      <c r="AB182" s="111"/>
      <c r="AC182" s="111"/>
      <c r="AD182" s="536"/>
      <c r="AE182" s="111"/>
      <c r="AF182" s="111"/>
      <c r="AG182" s="111"/>
      <c r="AH182" s="111"/>
      <c r="AI182" s="536"/>
      <c r="AJ182" s="111"/>
      <c r="AK182" s="111"/>
      <c r="AL182" s="111"/>
      <c r="AM182" s="111"/>
      <c r="AN182" s="536"/>
      <c r="AO182" s="111"/>
      <c r="AP182" s="111"/>
      <c r="AQ182" s="111"/>
      <c r="AR182" s="111"/>
      <c r="AS182" s="536"/>
      <c r="AT182" s="111"/>
      <c r="AU182" s="111"/>
      <c r="AV182" s="111"/>
      <c r="AW182" s="111"/>
      <c r="AX182" s="536"/>
      <c r="AY182" s="111"/>
      <c r="AZ182" s="111"/>
      <c r="BA182" s="111"/>
      <c r="BB182" s="111"/>
      <c r="BC182" s="536"/>
      <c r="BD182" s="111"/>
      <c r="BE182" s="111"/>
      <c r="BF182" s="111"/>
      <c r="BG182" s="111"/>
      <c r="BH182" s="536"/>
      <c r="BI182" s="111"/>
      <c r="BJ182" s="111"/>
      <c r="BK182" s="111"/>
      <c r="BL182" s="111"/>
      <c r="BM182" s="536"/>
      <c r="BN182" s="111"/>
      <c r="BO182" s="111"/>
      <c r="BP182" s="111"/>
      <c r="BQ182" s="111"/>
      <c r="BR182" s="536"/>
      <c r="BS182" s="111"/>
      <c r="BT182" s="111"/>
      <c r="BU182" s="111"/>
      <c r="BV182" s="111"/>
      <c r="BW182" s="465"/>
      <c r="BZ182" s="410"/>
      <c r="CA182" s="410"/>
    </row>
    <row r="183" spans="1:79" ht="7.5" customHeight="1" x14ac:dyDescent="0.2">
      <c r="A183" s="377"/>
      <c r="B183" s="377"/>
      <c r="C183" s="377"/>
      <c r="D183" s="377"/>
      <c r="E183" s="377"/>
      <c r="F183" s="377"/>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377"/>
      <c r="BZ183" s="410"/>
      <c r="CA183" s="410"/>
    </row>
    <row r="184" spans="1:79" ht="12" hidden="1" customHeight="1" x14ac:dyDescent="0.2">
      <c r="A184" s="377"/>
      <c r="B184" s="377"/>
      <c r="C184" s="53"/>
      <c r="D184" s="568"/>
      <c r="E184" s="377"/>
      <c r="F184" s="377"/>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377"/>
      <c r="BX184" s="377"/>
      <c r="BZ184" s="410"/>
      <c r="CA184" s="410"/>
    </row>
    <row r="185" spans="1:79" ht="12" hidden="1" customHeight="1" x14ac:dyDescent="0.2">
      <c r="A185" s="377"/>
      <c r="B185" s="377"/>
      <c r="C185" s="53"/>
      <c r="D185" s="53"/>
      <c r="E185" s="377"/>
      <c r="F185" s="377"/>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377"/>
      <c r="BX185" s="377"/>
      <c r="BZ185" s="410"/>
      <c r="CA185" s="410"/>
    </row>
    <row r="186" spans="1:79" x14ac:dyDescent="0.2">
      <c r="A186" s="377"/>
      <c r="B186" s="377"/>
      <c r="C186" s="377"/>
      <c r="D186" s="377"/>
      <c r="E186" s="569"/>
      <c r="F186" s="569"/>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377"/>
      <c r="BZ186" s="410"/>
      <c r="CA186" s="410"/>
    </row>
    <row r="187" spans="1:79" ht="15.75" x14ac:dyDescent="0.25">
      <c r="A187" s="377"/>
      <c r="B187" s="377"/>
      <c r="C187" s="377"/>
      <c r="D187" s="447" t="s">
        <v>412</v>
      </c>
      <c r="E187" s="447"/>
      <c r="F187" s="447"/>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377"/>
      <c r="BZ187" s="410"/>
      <c r="CA187" s="410"/>
    </row>
    <row r="188" spans="1:79" ht="15" customHeight="1" x14ac:dyDescent="0.2">
      <c r="A188" s="377"/>
      <c r="B188" s="377"/>
      <c r="D188" s="570"/>
      <c r="E188" s="478"/>
      <c r="F188" s="462"/>
      <c r="G188" s="712" t="str">
        <f>G8</f>
        <v>2020/21</v>
      </c>
      <c r="H188" s="726"/>
      <c r="I188" s="726"/>
      <c r="J188" s="726"/>
      <c r="K188" s="726"/>
      <c r="L188" s="726"/>
      <c r="M188" s="726"/>
      <c r="N188" s="726"/>
      <c r="O188" s="726"/>
      <c r="P188" s="726"/>
      <c r="Q188" s="726"/>
      <c r="R188" s="726"/>
      <c r="S188" s="726"/>
      <c r="T188" s="726"/>
      <c r="U188" s="726"/>
      <c r="V188" s="726"/>
      <c r="W188" s="726"/>
      <c r="X188" s="726"/>
      <c r="Y188" s="726"/>
      <c r="Z188" s="726"/>
      <c r="AA188" s="726"/>
      <c r="AB188" s="726"/>
      <c r="AC188" s="726"/>
      <c r="AD188" s="726"/>
      <c r="AE188" s="726"/>
      <c r="AF188" s="726"/>
      <c r="AG188" s="726"/>
      <c r="AH188" s="726"/>
      <c r="AI188" s="726"/>
      <c r="AJ188" s="726"/>
      <c r="AK188" s="726"/>
      <c r="AL188" s="726"/>
      <c r="AM188" s="726"/>
      <c r="AN188" s="726"/>
      <c r="AO188" s="726"/>
      <c r="AP188" s="726"/>
      <c r="AQ188" s="726"/>
      <c r="AR188" s="726"/>
      <c r="AS188" s="726"/>
      <c r="AT188" s="726"/>
      <c r="AU188" s="726"/>
      <c r="AV188" s="726"/>
      <c r="AW188" s="726"/>
      <c r="AX188" s="726"/>
      <c r="AY188" s="726"/>
      <c r="AZ188" s="726"/>
      <c r="BA188" s="726"/>
      <c r="BB188" s="726"/>
      <c r="BC188" s="726"/>
      <c r="BD188" s="726"/>
      <c r="BE188" s="726"/>
      <c r="BF188" s="726"/>
      <c r="BG188" s="726"/>
      <c r="BH188" s="726"/>
      <c r="BI188" s="726"/>
      <c r="BJ188" s="726"/>
      <c r="BK188" s="726"/>
      <c r="BL188" s="726"/>
      <c r="BM188" s="726"/>
      <c r="BN188" s="726"/>
      <c r="BO188" s="726"/>
      <c r="BP188" s="726"/>
      <c r="BQ188" s="726"/>
      <c r="BR188" s="726"/>
      <c r="BS188" s="726"/>
      <c r="BT188" s="726"/>
      <c r="BU188" s="393"/>
      <c r="BV188" s="393"/>
      <c r="BW188" s="465"/>
      <c r="BZ188" s="410"/>
      <c r="CA188" s="410"/>
    </row>
    <row r="189" spans="1:79" ht="18" customHeight="1" x14ac:dyDescent="0.2">
      <c r="A189" s="377"/>
      <c r="B189" s="377"/>
      <c r="D189" s="160"/>
      <c r="F189" s="377"/>
      <c r="G189" s="152" t="str">
        <f>G9</f>
        <v>Revised</v>
      </c>
      <c r="H189" s="137"/>
      <c r="I189" s="137"/>
      <c r="J189" s="153"/>
      <c r="K189" s="137"/>
      <c r="L189" s="137" t="s">
        <v>6</v>
      </c>
      <c r="M189" s="137"/>
      <c r="N189" s="137"/>
      <c r="O189" s="153"/>
      <c r="P189" s="137"/>
      <c r="Q189" s="137" t="s">
        <v>7</v>
      </c>
      <c r="R189" s="137"/>
      <c r="S189" s="137"/>
      <c r="T189" s="153"/>
      <c r="U189" s="137"/>
      <c r="V189" s="137" t="s">
        <v>8</v>
      </c>
      <c r="W189" s="137"/>
      <c r="X189" s="137"/>
      <c r="Y189" s="153"/>
      <c r="Z189" s="137"/>
      <c r="AA189" s="137" t="s">
        <v>9</v>
      </c>
      <c r="AB189" s="137"/>
      <c r="AC189" s="137"/>
      <c r="AD189" s="153"/>
      <c r="AE189" s="137"/>
      <c r="AF189" s="137" t="s">
        <v>10</v>
      </c>
      <c r="AG189" s="137"/>
      <c r="AH189" s="137"/>
      <c r="AI189" s="153"/>
      <c r="AJ189" s="137"/>
      <c r="AK189" s="137" t="s">
        <v>11</v>
      </c>
      <c r="AL189" s="137"/>
      <c r="AM189" s="137"/>
      <c r="AN189" s="153"/>
      <c r="AO189" s="137"/>
      <c r="AP189" s="137" t="s">
        <v>12</v>
      </c>
      <c r="AQ189" s="137"/>
      <c r="AR189" s="137"/>
      <c r="AS189" s="153"/>
      <c r="AT189" s="137"/>
      <c r="AU189" s="137" t="s">
        <v>13</v>
      </c>
      <c r="AV189" s="137"/>
      <c r="AW189" s="137"/>
      <c r="AX189" s="153"/>
      <c r="AY189" s="137"/>
      <c r="AZ189" s="137" t="s">
        <v>14</v>
      </c>
      <c r="BA189" s="137"/>
      <c r="BB189" s="137"/>
      <c r="BC189" s="153"/>
      <c r="BD189" s="137"/>
      <c r="BE189" s="137" t="s">
        <v>15</v>
      </c>
      <c r="BF189" s="137"/>
      <c r="BG189" s="137"/>
      <c r="BH189" s="153"/>
      <c r="BI189" s="152"/>
      <c r="BJ189" s="152" t="s">
        <v>16</v>
      </c>
      <c r="BK189" s="152"/>
      <c r="BL189" s="133"/>
      <c r="BM189" s="153"/>
      <c r="BN189" s="152"/>
      <c r="BO189" s="152" t="s">
        <v>17</v>
      </c>
      <c r="BP189" s="152"/>
      <c r="BQ189" s="133"/>
      <c r="BR189" s="153"/>
      <c r="BS189" s="152"/>
      <c r="BT189" s="137" t="s">
        <v>18</v>
      </c>
      <c r="BU189" s="137"/>
      <c r="BV189" s="137"/>
      <c r="BW189" s="465"/>
      <c r="BZ189" s="410"/>
      <c r="CA189" s="410"/>
    </row>
    <row r="190" spans="1:79" x14ac:dyDescent="0.2">
      <c r="A190" s="377"/>
      <c r="B190" s="377"/>
      <c r="D190" s="459" t="s">
        <v>20</v>
      </c>
      <c r="E190" s="516"/>
      <c r="F190" s="517"/>
      <c r="G190" s="208" t="s">
        <v>22</v>
      </c>
      <c r="H190" s="208"/>
      <c r="I190" s="140"/>
      <c r="J190" s="463"/>
      <c r="K190" s="208"/>
      <c r="L190" s="208"/>
      <c r="M190" s="208"/>
      <c r="N190" s="208"/>
      <c r="O190" s="463"/>
      <c r="P190" s="208"/>
      <c r="Q190" s="208"/>
      <c r="R190" s="208"/>
      <c r="S190" s="208"/>
      <c r="T190" s="463"/>
      <c r="U190" s="208"/>
      <c r="V190" s="208"/>
      <c r="W190" s="208"/>
      <c r="X190" s="208"/>
      <c r="Y190" s="463"/>
      <c r="Z190" s="208"/>
      <c r="AA190" s="208"/>
      <c r="AB190" s="208"/>
      <c r="AC190" s="208"/>
      <c r="AD190" s="463"/>
      <c r="AE190" s="208"/>
      <c r="AF190" s="208"/>
      <c r="AG190" s="208"/>
      <c r="AH190" s="208"/>
      <c r="AI190" s="463"/>
      <c r="AJ190" s="208"/>
      <c r="AK190" s="208"/>
      <c r="AL190" s="208"/>
      <c r="AM190" s="208"/>
      <c r="AN190" s="463"/>
      <c r="AO190" s="208"/>
      <c r="AP190" s="208"/>
      <c r="AQ190" s="208"/>
      <c r="AR190" s="208"/>
      <c r="AS190" s="463"/>
      <c r="AT190" s="208"/>
      <c r="AU190" s="208"/>
      <c r="AV190" s="208"/>
      <c r="AW190" s="208"/>
      <c r="AX190" s="463"/>
      <c r="AY190" s="208"/>
      <c r="AZ190" s="208"/>
      <c r="BA190" s="208"/>
      <c r="BB190" s="208"/>
      <c r="BC190" s="463"/>
      <c r="BD190" s="208"/>
      <c r="BE190" s="208"/>
      <c r="BF190" s="208"/>
      <c r="BG190" s="208"/>
      <c r="BH190" s="463"/>
      <c r="BI190" s="208"/>
      <c r="BJ190" s="208"/>
      <c r="BK190" s="208"/>
      <c r="BL190" s="140"/>
      <c r="BM190" s="463"/>
      <c r="BN190" s="208"/>
      <c r="BO190" s="208"/>
      <c r="BP190" s="208"/>
      <c r="BQ190" s="140"/>
      <c r="BR190" s="463"/>
      <c r="BS190" s="208"/>
      <c r="BT190" s="208"/>
      <c r="BU190" s="208"/>
      <c r="BV190" s="140"/>
      <c r="BW190" s="465"/>
      <c r="BZ190" s="410"/>
      <c r="CA190" s="410"/>
    </row>
    <row r="191" spans="1:79" x14ac:dyDescent="0.2">
      <c r="A191" s="377"/>
      <c r="B191" s="377"/>
      <c r="D191" s="465"/>
      <c r="E191" s="572"/>
      <c r="F191" s="259"/>
      <c r="G191" s="53"/>
      <c r="H191" s="53"/>
      <c r="I191" s="53"/>
      <c r="J191" s="518"/>
      <c r="K191" s="259"/>
      <c r="L191" s="53"/>
      <c r="M191" s="53"/>
      <c r="N191" s="53"/>
      <c r="O191" s="518"/>
      <c r="P191" s="259"/>
      <c r="Q191" s="53"/>
      <c r="R191" s="53"/>
      <c r="S191" s="53"/>
      <c r="T191" s="518"/>
      <c r="U191" s="259"/>
      <c r="V191" s="53"/>
      <c r="W191" s="53"/>
      <c r="X191" s="53"/>
      <c r="Y191" s="518"/>
      <c r="Z191" s="259"/>
      <c r="AA191" s="53"/>
      <c r="AB191" s="53"/>
      <c r="AC191" s="53"/>
      <c r="AD191" s="518"/>
      <c r="AE191" s="259"/>
      <c r="AF191" s="53"/>
      <c r="AG191" s="53"/>
      <c r="AH191" s="53"/>
      <c r="AI191" s="518"/>
      <c r="AJ191" s="259"/>
      <c r="AK191" s="53"/>
      <c r="AL191" s="53"/>
      <c r="AM191" s="53"/>
      <c r="AN191" s="518"/>
      <c r="AO191" s="259"/>
      <c r="AP191" s="53"/>
      <c r="AQ191" s="53"/>
      <c r="AR191" s="53"/>
      <c r="AS191" s="518"/>
      <c r="AT191" s="259"/>
      <c r="AU191" s="53"/>
      <c r="AV191" s="53"/>
      <c r="AW191" s="53"/>
      <c r="AX191" s="518"/>
      <c r="AY191" s="259"/>
      <c r="AZ191" s="53"/>
      <c r="BA191" s="53"/>
      <c r="BB191" s="53"/>
      <c r="BC191" s="518"/>
      <c r="BD191" s="259"/>
      <c r="BE191" s="53"/>
      <c r="BF191" s="53"/>
      <c r="BG191" s="53"/>
      <c r="BH191" s="518"/>
      <c r="BI191" s="259"/>
      <c r="BJ191" s="53"/>
      <c r="BK191" s="53"/>
      <c r="BL191" s="53"/>
      <c r="BM191" s="518"/>
      <c r="BN191" s="259"/>
      <c r="BO191" s="53"/>
      <c r="BP191" s="53"/>
      <c r="BQ191" s="53"/>
      <c r="BR191" s="518"/>
      <c r="BS191" s="259"/>
      <c r="BT191" s="53"/>
      <c r="BU191" s="53"/>
      <c r="BV191" s="53"/>
      <c r="BW191" s="465"/>
      <c r="BZ191" s="410"/>
      <c r="CA191" s="410"/>
    </row>
    <row r="192" spans="1:79" x14ac:dyDescent="0.2">
      <c r="A192" s="377"/>
      <c r="B192" s="377"/>
      <c r="D192" s="465" t="s">
        <v>413</v>
      </c>
      <c r="F192" s="462"/>
      <c r="G192" s="102">
        <v>0</v>
      </c>
      <c r="H192" s="102"/>
      <c r="I192" s="53"/>
      <c r="J192" s="518"/>
      <c r="K192" s="462"/>
      <c r="L192" s="102">
        <f>SUM(L193:L204)</f>
        <v>0</v>
      </c>
      <c r="M192" s="102"/>
      <c r="N192" s="53"/>
      <c r="O192" s="518"/>
      <c r="P192" s="462"/>
      <c r="Q192" s="102">
        <f>SUM(Q193:Q204)</f>
        <v>0</v>
      </c>
      <c r="R192" s="102"/>
      <c r="S192" s="53"/>
      <c r="T192" s="518"/>
      <c r="U192" s="462"/>
      <c r="V192" s="102">
        <f>SUM(V193:V204)</f>
        <v>0</v>
      </c>
      <c r="W192" s="102"/>
      <c r="X192" s="53"/>
      <c r="Y192" s="518"/>
      <c r="Z192" s="462"/>
      <c r="AA192" s="102">
        <f>SUM(AA193:AA204)</f>
        <v>0</v>
      </c>
      <c r="AB192" s="102"/>
      <c r="AC192" s="53"/>
      <c r="AD192" s="518"/>
      <c r="AE192" s="462"/>
      <c r="AF192" s="102">
        <f>SUM(AF193:AF204)</f>
        <v>0</v>
      </c>
      <c r="AG192" s="102"/>
      <c r="AH192" s="53"/>
      <c r="AI192" s="518"/>
      <c r="AJ192" s="462"/>
      <c r="AK192" s="102">
        <f>SUM(AK193:AK204)</f>
        <v>0</v>
      </c>
      <c r="AL192" s="102"/>
      <c r="AM192" s="53"/>
      <c r="AN192" s="518"/>
      <c r="AO192" s="462"/>
      <c r="AP192" s="102">
        <f>SUM(AP193:AP204)</f>
        <v>0</v>
      </c>
      <c r="AQ192" s="102"/>
      <c r="AR192" s="53"/>
      <c r="AS192" s="518"/>
      <c r="AT192" s="462"/>
      <c r="AU192" s="102">
        <f>SUM(AU193:AU204)</f>
        <v>0</v>
      </c>
      <c r="AV192" s="102"/>
      <c r="AW192" s="53"/>
      <c r="AX192" s="518"/>
      <c r="AY192" s="462"/>
      <c r="AZ192" s="102">
        <f>SUM(AZ193:AZ204)</f>
        <v>0</v>
      </c>
      <c r="BA192" s="102"/>
      <c r="BB192" s="53"/>
      <c r="BC192" s="518"/>
      <c r="BD192" s="462"/>
      <c r="BE192" s="102">
        <f>SUM(BE193:BE204)</f>
        <v>0</v>
      </c>
      <c r="BF192" s="102"/>
      <c r="BG192" s="53"/>
      <c r="BH192" s="518"/>
      <c r="BI192" s="462"/>
      <c r="BJ192" s="102">
        <f>SUM(BJ193:BJ204)</f>
        <v>0</v>
      </c>
      <c r="BK192" s="102"/>
      <c r="BL192" s="53"/>
      <c r="BM192" s="518"/>
      <c r="BN192" s="462"/>
      <c r="BO192" s="102">
        <f>SUM(BO193:BO204)</f>
        <v>0</v>
      </c>
      <c r="BP192" s="102"/>
      <c r="BQ192" s="53"/>
      <c r="BR192" s="518"/>
      <c r="BS192" s="462"/>
      <c r="BT192" s="102">
        <f>SUM(BT193:BT204)</f>
        <v>0</v>
      </c>
      <c r="BU192" s="102"/>
      <c r="BV192" s="53"/>
      <c r="BW192" s="465"/>
      <c r="BZ192" s="410"/>
      <c r="CA192" s="410"/>
    </row>
    <row r="193" spans="1:79" hidden="1" x14ac:dyDescent="0.2">
      <c r="A193" s="377"/>
      <c r="B193" s="377"/>
      <c r="D193" s="465" t="s">
        <v>414</v>
      </c>
      <c r="F193" s="469"/>
      <c r="G193" s="520">
        <v>0</v>
      </c>
      <c r="H193" s="521"/>
      <c r="I193" s="53"/>
      <c r="J193" s="518"/>
      <c r="K193" s="469"/>
      <c r="L193" s="520">
        <v>0</v>
      </c>
      <c r="M193" s="521"/>
      <c r="N193" s="53"/>
      <c r="O193" s="518"/>
      <c r="P193" s="469"/>
      <c r="Q193" s="520">
        <v>0</v>
      </c>
      <c r="R193" s="521"/>
      <c r="S193" s="53"/>
      <c r="T193" s="518"/>
      <c r="U193" s="462"/>
      <c r="V193" s="520">
        <v>0</v>
      </c>
      <c r="W193" s="102"/>
      <c r="X193" s="53"/>
      <c r="Y193" s="518"/>
      <c r="Z193" s="469"/>
      <c r="AA193" s="520">
        <v>0</v>
      </c>
      <c r="AB193" s="521"/>
      <c r="AC193" s="53"/>
      <c r="AD193" s="518"/>
      <c r="AE193" s="469"/>
      <c r="AF193" s="520">
        <v>0</v>
      </c>
      <c r="AG193" s="521"/>
      <c r="AH193" s="53"/>
      <c r="AI193" s="518"/>
      <c r="AJ193" s="469"/>
      <c r="AK193" s="520">
        <v>0</v>
      </c>
      <c r="AL193" s="521"/>
      <c r="AM193" s="53"/>
      <c r="AN193" s="518"/>
      <c r="AO193" s="469"/>
      <c r="AP193" s="520">
        <v>0</v>
      </c>
      <c r="AQ193" s="521"/>
      <c r="AR193" s="53"/>
      <c r="AS193" s="518"/>
      <c r="AT193" s="469"/>
      <c r="AU193" s="520">
        <v>0</v>
      </c>
      <c r="AV193" s="521"/>
      <c r="AW193" s="53"/>
      <c r="AX193" s="518"/>
      <c r="AY193" s="469"/>
      <c r="AZ193" s="520">
        <v>0</v>
      </c>
      <c r="BA193" s="521"/>
      <c r="BB193" s="53"/>
      <c r="BC193" s="518"/>
      <c r="BD193" s="469"/>
      <c r="BE193" s="520">
        <v>0</v>
      </c>
      <c r="BF193" s="521"/>
      <c r="BG193" s="53"/>
      <c r="BH193" s="518"/>
      <c r="BI193" s="469"/>
      <c r="BJ193" s="520">
        <v>0</v>
      </c>
      <c r="BK193" s="521"/>
      <c r="BL193" s="53"/>
      <c r="BM193" s="518"/>
      <c r="BN193" s="469"/>
      <c r="BO193" s="520">
        <v>0</v>
      </c>
      <c r="BP193" s="521"/>
      <c r="BQ193" s="53"/>
      <c r="BR193" s="518"/>
      <c r="BS193" s="469"/>
      <c r="BT193" s="520">
        <f t="shared" ref="BT193:BT204" si="0">SUM(L193:BO193)</f>
        <v>0</v>
      </c>
      <c r="BU193" s="521"/>
      <c r="BV193" s="53"/>
      <c r="BW193" s="465"/>
      <c r="BZ193" s="410"/>
      <c r="CA193" s="410"/>
    </row>
    <row r="194" spans="1:79" hidden="1" x14ac:dyDescent="0.2">
      <c r="A194" s="377"/>
      <c r="B194" s="377"/>
      <c r="D194" s="465" t="s">
        <v>415</v>
      </c>
      <c r="F194" s="417"/>
      <c r="G194" s="53">
        <v>0</v>
      </c>
      <c r="H194" s="52"/>
      <c r="I194" s="53"/>
      <c r="J194" s="518"/>
      <c r="K194" s="417"/>
      <c r="L194" s="53">
        <v>0</v>
      </c>
      <c r="M194" s="52"/>
      <c r="N194" s="53"/>
      <c r="O194" s="518"/>
      <c r="P194" s="417"/>
      <c r="Q194" s="53">
        <v>0</v>
      </c>
      <c r="R194" s="52"/>
      <c r="S194" s="53"/>
      <c r="T194" s="518"/>
      <c r="U194" s="417"/>
      <c r="V194" s="53">
        <v>0</v>
      </c>
      <c r="W194" s="52"/>
      <c r="X194" s="53"/>
      <c r="Y194" s="518"/>
      <c r="Z194" s="417"/>
      <c r="AA194" s="53">
        <v>0</v>
      </c>
      <c r="AB194" s="52"/>
      <c r="AC194" s="53"/>
      <c r="AD194" s="518"/>
      <c r="AE194" s="417"/>
      <c r="AF194" s="53">
        <v>0</v>
      </c>
      <c r="AG194" s="52"/>
      <c r="AH194" s="53"/>
      <c r="AI194" s="518"/>
      <c r="AJ194" s="417"/>
      <c r="AK194" s="53">
        <v>0</v>
      </c>
      <c r="AL194" s="52"/>
      <c r="AM194" s="53"/>
      <c r="AN194" s="518"/>
      <c r="AO194" s="417"/>
      <c r="AP194" s="53">
        <v>0</v>
      </c>
      <c r="AQ194" s="52"/>
      <c r="AR194" s="53"/>
      <c r="AS194" s="518"/>
      <c r="AT194" s="417"/>
      <c r="AU194" s="53">
        <v>0</v>
      </c>
      <c r="AV194" s="52"/>
      <c r="AW194" s="53"/>
      <c r="AX194" s="518"/>
      <c r="AY194" s="417"/>
      <c r="AZ194" s="53">
        <v>0</v>
      </c>
      <c r="BA194" s="52"/>
      <c r="BB194" s="53"/>
      <c r="BC194" s="518"/>
      <c r="BD194" s="417"/>
      <c r="BE194" s="53">
        <v>0</v>
      </c>
      <c r="BF194" s="52"/>
      <c r="BG194" s="53"/>
      <c r="BH194" s="518"/>
      <c r="BI194" s="417"/>
      <c r="BJ194" s="53">
        <v>0</v>
      </c>
      <c r="BK194" s="52"/>
      <c r="BL194" s="53"/>
      <c r="BM194" s="518"/>
      <c r="BN194" s="417"/>
      <c r="BO194" s="53">
        <v>0</v>
      </c>
      <c r="BP194" s="52"/>
      <c r="BQ194" s="53"/>
      <c r="BR194" s="518"/>
      <c r="BS194" s="417"/>
      <c r="BT194" s="53">
        <f t="shared" si="0"/>
        <v>0</v>
      </c>
      <c r="BU194" s="52"/>
      <c r="BV194" s="53"/>
      <c r="BW194" s="465"/>
      <c r="BZ194" s="410"/>
      <c r="CA194" s="410"/>
    </row>
    <row r="195" spans="1:79" hidden="1" x14ac:dyDescent="0.2">
      <c r="A195" s="377"/>
      <c r="B195" s="377"/>
      <c r="D195" s="465" t="s">
        <v>416</v>
      </c>
      <c r="F195" s="417"/>
      <c r="G195" s="53">
        <v>0</v>
      </c>
      <c r="H195" s="52"/>
      <c r="I195" s="53"/>
      <c r="J195" s="518"/>
      <c r="K195" s="417"/>
      <c r="L195" s="53">
        <v>0</v>
      </c>
      <c r="M195" s="52"/>
      <c r="N195" s="53"/>
      <c r="O195" s="518"/>
      <c r="P195" s="417"/>
      <c r="Q195" s="53">
        <v>0</v>
      </c>
      <c r="R195" s="52"/>
      <c r="S195" s="53"/>
      <c r="T195" s="518"/>
      <c r="U195" s="417"/>
      <c r="V195" s="53">
        <v>0</v>
      </c>
      <c r="W195" s="52"/>
      <c r="X195" s="53"/>
      <c r="Y195" s="518"/>
      <c r="Z195" s="417"/>
      <c r="AA195" s="53">
        <v>0</v>
      </c>
      <c r="AB195" s="52"/>
      <c r="AC195" s="53"/>
      <c r="AD195" s="518"/>
      <c r="AE195" s="417"/>
      <c r="AF195" s="53">
        <v>0</v>
      </c>
      <c r="AG195" s="52"/>
      <c r="AH195" s="53"/>
      <c r="AI195" s="518"/>
      <c r="AJ195" s="417"/>
      <c r="AK195" s="53">
        <v>0</v>
      </c>
      <c r="AL195" s="52"/>
      <c r="AM195" s="53"/>
      <c r="AN195" s="518"/>
      <c r="AO195" s="417"/>
      <c r="AP195" s="53">
        <v>0</v>
      </c>
      <c r="AQ195" s="52"/>
      <c r="AR195" s="53"/>
      <c r="AS195" s="518"/>
      <c r="AT195" s="417"/>
      <c r="AU195" s="53">
        <v>0</v>
      </c>
      <c r="AV195" s="52"/>
      <c r="AW195" s="53"/>
      <c r="AX195" s="518"/>
      <c r="AY195" s="417"/>
      <c r="AZ195" s="53">
        <v>0</v>
      </c>
      <c r="BA195" s="52"/>
      <c r="BB195" s="53"/>
      <c r="BC195" s="518"/>
      <c r="BD195" s="417"/>
      <c r="BE195" s="53">
        <v>0</v>
      </c>
      <c r="BF195" s="52"/>
      <c r="BG195" s="53"/>
      <c r="BH195" s="518"/>
      <c r="BI195" s="417"/>
      <c r="BJ195" s="53">
        <v>0</v>
      </c>
      <c r="BK195" s="52"/>
      <c r="BL195" s="53"/>
      <c r="BM195" s="518"/>
      <c r="BN195" s="417"/>
      <c r="BO195" s="53">
        <v>0</v>
      </c>
      <c r="BP195" s="52"/>
      <c r="BQ195" s="53"/>
      <c r="BR195" s="518"/>
      <c r="BS195" s="417"/>
      <c r="BT195" s="53">
        <f>SUM(L195:BO195)</f>
        <v>0</v>
      </c>
      <c r="BU195" s="52"/>
      <c r="BV195" s="53"/>
      <c r="BW195" s="465"/>
      <c r="BZ195" s="410"/>
      <c r="CA195" s="410"/>
    </row>
    <row r="196" spans="1:79" hidden="1" x14ac:dyDescent="0.2">
      <c r="A196" s="377"/>
      <c r="B196" s="377"/>
      <c r="D196" s="465" t="s">
        <v>417</v>
      </c>
      <c r="F196" s="417"/>
      <c r="G196" s="53">
        <v>0</v>
      </c>
      <c r="H196" s="52"/>
      <c r="I196" s="53"/>
      <c r="J196" s="518"/>
      <c r="K196" s="417"/>
      <c r="L196" s="53">
        <v>0</v>
      </c>
      <c r="M196" s="52"/>
      <c r="N196" s="53"/>
      <c r="O196" s="518"/>
      <c r="P196" s="417"/>
      <c r="Q196" s="53">
        <v>0</v>
      </c>
      <c r="R196" s="52"/>
      <c r="S196" s="53"/>
      <c r="T196" s="518"/>
      <c r="U196" s="417"/>
      <c r="V196" s="53">
        <v>0</v>
      </c>
      <c r="W196" s="52"/>
      <c r="X196" s="53"/>
      <c r="Y196" s="518"/>
      <c r="Z196" s="417"/>
      <c r="AA196" s="53">
        <v>0</v>
      </c>
      <c r="AB196" s="52"/>
      <c r="AC196" s="53"/>
      <c r="AD196" s="518"/>
      <c r="AE196" s="417"/>
      <c r="AF196" s="53">
        <v>0</v>
      </c>
      <c r="AG196" s="52"/>
      <c r="AH196" s="53"/>
      <c r="AI196" s="518"/>
      <c r="AJ196" s="417"/>
      <c r="AK196" s="53">
        <v>0</v>
      </c>
      <c r="AL196" s="52"/>
      <c r="AM196" s="53"/>
      <c r="AN196" s="518"/>
      <c r="AO196" s="417"/>
      <c r="AP196" s="53">
        <v>0</v>
      </c>
      <c r="AQ196" s="52"/>
      <c r="AR196" s="53"/>
      <c r="AS196" s="518"/>
      <c r="AT196" s="417"/>
      <c r="AU196" s="53">
        <v>0</v>
      </c>
      <c r="AV196" s="52"/>
      <c r="AW196" s="53"/>
      <c r="AX196" s="518"/>
      <c r="AY196" s="417"/>
      <c r="AZ196" s="53">
        <v>0</v>
      </c>
      <c r="BA196" s="52"/>
      <c r="BB196" s="53"/>
      <c r="BC196" s="518"/>
      <c r="BD196" s="417"/>
      <c r="BE196" s="53">
        <v>0</v>
      </c>
      <c r="BF196" s="52"/>
      <c r="BG196" s="53"/>
      <c r="BH196" s="518"/>
      <c r="BI196" s="417"/>
      <c r="BJ196" s="53">
        <v>0</v>
      </c>
      <c r="BK196" s="52"/>
      <c r="BL196" s="53"/>
      <c r="BM196" s="518"/>
      <c r="BN196" s="417"/>
      <c r="BO196" s="53">
        <v>0</v>
      </c>
      <c r="BP196" s="52"/>
      <c r="BQ196" s="53"/>
      <c r="BR196" s="518"/>
      <c r="BS196" s="417"/>
      <c r="BT196" s="53">
        <f t="shared" si="0"/>
        <v>0</v>
      </c>
      <c r="BU196" s="52"/>
      <c r="BV196" s="53"/>
      <c r="BW196" s="465"/>
      <c r="BZ196" s="410"/>
      <c r="CA196" s="410"/>
    </row>
    <row r="197" spans="1:79" hidden="1" x14ac:dyDescent="0.2">
      <c r="A197" s="377"/>
      <c r="B197" s="377"/>
      <c r="D197" s="465" t="s">
        <v>418</v>
      </c>
      <c r="F197" s="417"/>
      <c r="G197" s="53">
        <v>0</v>
      </c>
      <c r="H197" s="52"/>
      <c r="I197" s="53"/>
      <c r="J197" s="518"/>
      <c r="K197" s="417"/>
      <c r="L197" s="53">
        <v>0</v>
      </c>
      <c r="M197" s="52"/>
      <c r="N197" s="53"/>
      <c r="O197" s="518"/>
      <c r="P197" s="417"/>
      <c r="Q197" s="53">
        <v>0</v>
      </c>
      <c r="R197" s="52"/>
      <c r="S197" s="53"/>
      <c r="T197" s="518"/>
      <c r="U197" s="417"/>
      <c r="V197" s="53">
        <v>0</v>
      </c>
      <c r="W197" s="52"/>
      <c r="X197" s="53"/>
      <c r="Y197" s="518"/>
      <c r="Z197" s="417"/>
      <c r="AA197" s="53">
        <v>0</v>
      </c>
      <c r="AB197" s="52"/>
      <c r="AC197" s="53"/>
      <c r="AD197" s="518"/>
      <c r="AE197" s="417"/>
      <c r="AF197" s="53">
        <v>0</v>
      </c>
      <c r="AG197" s="52"/>
      <c r="AH197" s="53"/>
      <c r="AI197" s="518"/>
      <c r="AJ197" s="417"/>
      <c r="AK197" s="53">
        <v>0</v>
      </c>
      <c r="AL197" s="52"/>
      <c r="AM197" s="53"/>
      <c r="AN197" s="518"/>
      <c r="AO197" s="417"/>
      <c r="AP197" s="53">
        <v>0</v>
      </c>
      <c r="AQ197" s="52"/>
      <c r="AR197" s="53"/>
      <c r="AS197" s="518"/>
      <c r="AT197" s="417"/>
      <c r="AU197" s="53">
        <v>0</v>
      </c>
      <c r="AV197" s="52"/>
      <c r="AW197" s="53"/>
      <c r="AX197" s="518"/>
      <c r="AY197" s="417"/>
      <c r="AZ197" s="53">
        <v>0</v>
      </c>
      <c r="BA197" s="52"/>
      <c r="BB197" s="53"/>
      <c r="BC197" s="518"/>
      <c r="BD197" s="417"/>
      <c r="BE197" s="53">
        <v>0</v>
      </c>
      <c r="BF197" s="52"/>
      <c r="BG197" s="53"/>
      <c r="BH197" s="518"/>
      <c r="BI197" s="417"/>
      <c r="BJ197" s="53">
        <v>0</v>
      </c>
      <c r="BK197" s="52"/>
      <c r="BL197" s="53"/>
      <c r="BM197" s="518"/>
      <c r="BN197" s="417"/>
      <c r="BO197" s="53">
        <v>0</v>
      </c>
      <c r="BP197" s="52"/>
      <c r="BQ197" s="53"/>
      <c r="BR197" s="518"/>
      <c r="BS197" s="417"/>
      <c r="BT197" s="53">
        <f t="shared" si="0"/>
        <v>0</v>
      </c>
      <c r="BU197" s="52"/>
      <c r="BV197" s="53"/>
      <c r="BW197" s="465"/>
      <c r="BZ197" s="410"/>
      <c r="CA197" s="410"/>
    </row>
    <row r="198" spans="1:79" hidden="1" x14ac:dyDescent="0.2">
      <c r="A198" s="377"/>
      <c r="B198" s="377"/>
      <c r="D198" s="465" t="s">
        <v>419</v>
      </c>
      <c r="F198" s="417"/>
      <c r="G198" s="53">
        <v>0</v>
      </c>
      <c r="H198" s="52"/>
      <c r="I198" s="53"/>
      <c r="J198" s="518"/>
      <c r="K198" s="417"/>
      <c r="L198" s="53">
        <v>0</v>
      </c>
      <c r="M198" s="52"/>
      <c r="N198" s="53"/>
      <c r="O198" s="518"/>
      <c r="P198" s="417"/>
      <c r="Q198" s="53">
        <v>0</v>
      </c>
      <c r="R198" s="52"/>
      <c r="S198" s="53"/>
      <c r="T198" s="518"/>
      <c r="U198" s="417"/>
      <c r="V198" s="53">
        <v>0</v>
      </c>
      <c r="W198" s="52"/>
      <c r="X198" s="53"/>
      <c r="Y198" s="518"/>
      <c r="Z198" s="417"/>
      <c r="AA198" s="53">
        <v>0</v>
      </c>
      <c r="AB198" s="52"/>
      <c r="AC198" s="53"/>
      <c r="AD198" s="518"/>
      <c r="AE198" s="417"/>
      <c r="AF198" s="53">
        <v>0</v>
      </c>
      <c r="AG198" s="52"/>
      <c r="AH198" s="53"/>
      <c r="AI198" s="518"/>
      <c r="AJ198" s="417"/>
      <c r="AK198" s="53">
        <v>0</v>
      </c>
      <c r="AL198" s="52"/>
      <c r="AM198" s="53"/>
      <c r="AN198" s="518"/>
      <c r="AO198" s="417"/>
      <c r="AP198" s="53">
        <v>0</v>
      </c>
      <c r="AQ198" s="52"/>
      <c r="AR198" s="53"/>
      <c r="AS198" s="518"/>
      <c r="AT198" s="417"/>
      <c r="AU198" s="53">
        <v>0</v>
      </c>
      <c r="AV198" s="52"/>
      <c r="AW198" s="53"/>
      <c r="AX198" s="518"/>
      <c r="AY198" s="417"/>
      <c r="AZ198" s="53">
        <v>0</v>
      </c>
      <c r="BA198" s="52"/>
      <c r="BB198" s="53"/>
      <c r="BC198" s="518"/>
      <c r="BD198" s="417"/>
      <c r="BE198" s="53">
        <v>0</v>
      </c>
      <c r="BF198" s="52"/>
      <c r="BG198" s="53"/>
      <c r="BH198" s="518"/>
      <c r="BI198" s="417"/>
      <c r="BJ198" s="53">
        <v>0</v>
      </c>
      <c r="BK198" s="52"/>
      <c r="BL198" s="53"/>
      <c r="BM198" s="518"/>
      <c r="BN198" s="417"/>
      <c r="BO198" s="53">
        <v>0</v>
      </c>
      <c r="BP198" s="52"/>
      <c r="BQ198" s="53"/>
      <c r="BR198" s="518"/>
      <c r="BS198" s="417"/>
      <c r="BT198" s="53">
        <f t="shared" si="0"/>
        <v>0</v>
      </c>
      <c r="BU198" s="52"/>
      <c r="BV198" s="53"/>
      <c r="BW198" s="465"/>
      <c r="BZ198" s="410"/>
      <c r="CA198" s="410"/>
    </row>
    <row r="199" spans="1:79" hidden="1" x14ac:dyDescent="0.2">
      <c r="A199" s="377"/>
      <c r="B199" s="377"/>
      <c r="D199" s="465" t="s">
        <v>420</v>
      </c>
      <c r="F199" s="417"/>
      <c r="G199" s="53">
        <v>0</v>
      </c>
      <c r="H199" s="52"/>
      <c r="I199" s="53"/>
      <c r="J199" s="518"/>
      <c r="K199" s="417"/>
      <c r="L199" s="53">
        <v>0</v>
      </c>
      <c r="M199" s="52"/>
      <c r="N199" s="53"/>
      <c r="O199" s="518"/>
      <c r="P199" s="417"/>
      <c r="Q199" s="53">
        <v>0</v>
      </c>
      <c r="R199" s="52"/>
      <c r="S199" s="53"/>
      <c r="T199" s="518"/>
      <c r="U199" s="417"/>
      <c r="V199" s="53">
        <v>0</v>
      </c>
      <c r="W199" s="52"/>
      <c r="X199" s="53"/>
      <c r="Y199" s="518"/>
      <c r="Z199" s="417"/>
      <c r="AA199" s="53">
        <v>0</v>
      </c>
      <c r="AB199" s="52"/>
      <c r="AC199" s="53"/>
      <c r="AD199" s="518"/>
      <c r="AE199" s="417"/>
      <c r="AF199" s="53">
        <v>0</v>
      </c>
      <c r="AG199" s="52"/>
      <c r="AH199" s="53"/>
      <c r="AI199" s="518"/>
      <c r="AJ199" s="417"/>
      <c r="AK199" s="53">
        <v>0</v>
      </c>
      <c r="AL199" s="52"/>
      <c r="AM199" s="53"/>
      <c r="AN199" s="518"/>
      <c r="AO199" s="417"/>
      <c r="AP199" s="53">
        <v>0</v>
      </c>
      <c r="AQ199" s="52"/>
      <c r="AR199" s="53"/>
      <c r="AS199" s="518"/>
      <c r="AT199" s="417"/>
      <c r="AU199" s="53">
        <v>0</v>
      </c>
      <c r="AV199" s="52"/>
      <c r="AW199" s="53"/>
      <c r="AX199" s="518"/>
      <c r="AY199" s="417"/>
      <c r="AZ199" s="53">
        <v>0</v>
      </c>
      <c r="BA199" s="52"/>
      <c r="BB199" s="53"/>
      <c r="BC199" s="518"/>
      <c r="BD199" s="417"/>
      <c r="BE199" s="53">
        <v>0</v>
      </c>
      <c r="BF199" s="52"/>
      <c r="BG199" s="53"/>
      <c r="BH199" s="518"/>
      <c r="BI199" s="417"/>
      <c r="BJ199" s="53">
        <v>0</v>
      </c>
      <c r="BK199" s="52"/>
      <c r="BL199" s="53"/>
      <c r="BM199" s="518"/>
      <c r="BN199" s="417"/>
      <c r="BO199" s="53">
        <v>0</v>
      </c>
      <c r="BP199" s="52"/>
      <c r="BQ199" s="53"/>
      <c r="BR199" s="518"/>
      <c r="BS199" s="417"/>
      <c r="BT199" s="53">
        <f t="shared" si="0"/>
        <v>0</v>
      </c>
      <c r="BU199" s="52"/>
      <c r="BV199" s="53"/>
      <c r="BW199" s="465"/>
      <c r="BZ199" s="410"/>
      <c r="CA199" s="410"/>
    </row>
    <row r="200" spans="1:79" hidden="1" x14ac:dyDescent="0.2">
      <c r="A200" s="377"/>
      <c r="B200" s="377"/>
      <c r="D200" s="465" t="s">
        <v>421</v>
      </c>
      <c r="F200" s="417"/>
      <c r="G200" s="53">
        <v>0</v>
      </c>
      <c r="H200" s="52"/>
      <c r="I200" s="53"/>
      <c r="J200" s="518"/>
      <c r="K200" s="417"/>
      <c r="L200" s="53">
        <v>0</v>
      </c>
      <c r="M200" s="52"/>
      <c r="N200" s="53"/>
      <c r="O200" s="518"/>
      <c r="P200" s="417"/>
      <c r="Q200" s="53">
        <v>0</v>
      </c>
      <c r="R200" s="52"/>
      <c r="S200" s="53"/>
      <c r="T200" s="518"/>
      <c r="U200" s="417"/>
      <c r="V200" s="53">
        <v>0</v>
      </c>
      <c r="W200" s="52"/>
      <c r="X200" s="53"/>
      <c r="Y200" s="518"/>
      <c r="Z200" s="417"/>
      <c r="AA200" s="53">
        <v>0</v>
      </c>
      <c r="AB200" s="52"/>
      <c r="AC200" s="53"/>
      <c r="AD200" s="518"/>
      <c r="AE200" s="417"/>
      <c r="AF200" s="53">
        <v>0</v>
      </c>
      <c r="AG200" s="52"/>
      <c r="AH200" s="53"/>
      <c r="AI200" s="518"/>
      <c r="AJ200" s="417"/>
      <c r="AK200" s="53">
        <v>0</v>
      </c>
      <c r="AL200" s="52"/>
      <c r="AM200" s="53"/>
      <c r="AN200" s="518"/>
      <c r="AO200" s="417"/>
      <c r="AP200" s="53">
        <v>0</v>
      </c>
      <c r="AQ200" s="52"/>
      <c r="AR200" s="53"/>
      <c r="AS200" s="518"/>
      <c r="AT200" s="417"/>
      <c r="AU200" s="53">
        <v>0</v>
      </c>
      <c r="AV200" s="52"/>
      <c r="AW200" s="53"/>
      <c r="AX200" s="518"/>
      <c r="AY200" s="417"/>
      <c r="AZ200" s="53">
        <v>0</v>
      </c>
      <c r="BA200" s="52"/>
      <c r="BB200" s="53"/>
      <c r="BC200" s="518"/>
      <c r="BD200" s="417"/>
      <c r="BE200" s="53">
        <v>0</v>
      </c>
      <c r="BF200" s="52"/>
      <c r="BG200" s="53"/>
      <c r="BH200" s="518"/>
      <c r="BI200" s="417"/>
      <c r="BJ200" s="53">
        <v>0</v>
      </c>
      <c r="BK200" s="52"/>
      <c r="BL200" s="53"/>
      <c r="BM200" s="518"/>
      <c r="BN200" s="417"/>
      <c r="BO200" s="53">
        <v>0</v>
      </c>
      <c r="BP200" s="52"/>
      <c r="BQ200" s="53"/>
      <c r="BR200" s="518"/>
      <c r="BS200" s="417"/>
      <c r="BT200" s="53">
        <f t="shared" si="0"/>
        <v>0</v>
      </c>
      <c r="BU200" s="52"/>
      <c r="BV200" s="53"/>
      <c r="BW200" s="465"/>
      <c r="BZ200" s="410"/>
      <c r="CA200" s="410"/>
    </row>
    <row r="201" spans="1:79" hidden="1" x14ac:dyDescent="0.2">
      <c r="A201" s="377"/>
      <c r="B201" s="377"/>
      <c r="D201" s="465" t="s">
        <v>422</v>
      </c>
      <c r="F201" s="417"/>
      <c r="G201" s="53">
        <v>0</v>
      </c>
      <c r="H201" s="52"/>
      <c r="I201" s="53"/>
      <c r="J201" s="518"/>
      <c r="K201" s="417"/>
      <c r="L201" s="53">
        <v>0</v>
      </c>
      <c r="M201" s="52"/>
      <c r="N201" s="53"/>
      <c r="O201" s="518"/>
      <c r="P201" s="417"/>
      <c r="Q201" s="53">
        <v>0</v>
      </c>
      <c r="R201" s="52"/>
      <c r="S201" s="53"/>
      <c r="T201" s="518"/>
      <c r="U201" s="417"/>
      <c r="V201" s="53">
        <v>0</v>
      </c>
      <c r="W201" s="52"/>
      <c r="X201" s="53"/>
      <c r="Y201" s="518"/>
      <c r="Z201" s="417"/>
      <c r="AA201" s="53">
        <v>0</v>
      </c>
      <c r="AB201" s="52"/>
      <c r="AC201" s="53"/>
      <c r="AD201" s="518"/>
      <c r="AE201" s="417"/>
      <c r="AF201" s="53">
        <v>0</v>
      </c>
      <c r="AG201" s="52"/>
      <c r="AH201" s="53"/>
      <c r="AI201" s="518"/>
      <c r="AJ201" s="417"/>
      <c r="AK201" s="53">
        <v>0</v>
      </c>
      <c r="AL201" s="52"/>
      <c r="AM201" s="53"/>
      <c r="AN201" s="518"/>
      <c r="AO201" s="417"/>
      <c r="AP201" s="53">
        <v>0</v>
      </c>
      <c r="AQ201" s="52"/>
      <c r="AR201" s="53"/>
      <c r="AS201" s="518"/>
      <c r="AT201" s="417"/>
      <c r="AU201" s="53">
        <v>0</v>
      </c>
      <c r="AV201" s="52"/>
      <c r="AW201" s="53"/>
      <c r="AX201" s="518"/>
      <c r="AY201" s="417"/>
      <c r="AZ201" s="53">
        <v>0</v>
      </c>
      <c r="BA201" s="52"/>
      <c r="BB201" s="53"/>
      <c r="BC201" s="518"/>
      <c r="BD201" s="417"/>
      <c r="BE201" s="53">
        <v>0</v>
      </c>
      <c r="BF201" s="52"/>
      <c r="BG201" s="53"/>
      <c r="BH201" s="518"/>
      <c r="BI201" s="417"/>
      <c r="BJ201" s="53">
        <v>0</v>
      </c>
      <c r="BK201" s="52"/>
      <c r="BL201" s="53"/>
      <c r="BM201" s="518"/>
      <c r="BN201" s="417"/>
      <c r="BO201" s="53">
        <v>0</v>
      </c>
      <c r="BP201" s="52"/>
      <c r="BQ201" s="53"/>
      <c r="BR201" s="518"/>
      <c r="BS201" s="417"/>
      <c r="BT201" s="53">
        <f t="shared" si="0"/>
        <v>0</v>
      </c>
      <c r="BU201" s="52"/>
      <c r="BV201" s="53"/>
      <c r="BW201" s="465"/>
      <c r="BZ201" s="410"/>
      <c r="CA201" s="410"/>
    </row>
    <row r="202" spans="1:79" x14ac:dyDescent="0.2">
      <c r="A202" s="377"/>
      <c r="B202" s="377"/>
      <c r="D202" s="465" t="s">
        <v>423</v>
      </c>
      <c r="F202" s="478"/>
      <c r="G202" s="102">
        <v>0</v>
      </c>
      <c r="H202" s="101"/>
      <c r="I202" s="53"/>
      <c r="J202" s="518"/>
      <c r="K202" s="478"/>
      <c r="L202" s="102">
        <v>0</v>
      </c>
      <c r="M202" s="101"/>
      <c r="N202" s="53"/>
      <c r="O202" s="518"/>
      <c r="P202" s="478"/>
      <c r="Q202" s="102">
        <v>0</v>
      </c>
      <c r="R202" s="101"/>
      <c r="S202" s="53"/>
      <c r="T202" s="518"/>
      <c r="U202" s="478"/>
      <c r="V202" s="102">
        <v>0</v>
      </c>
      <c r="W202" s="101"/>
      <c r="X202" s="53"/>
      <c r="Y202" s="518"/>
      <c r="Z202" s="478"/>
      <c r="AA202" s="102">
        <v>0</v>
      </c>
      <c r="AB202" s="101"/>
      <c r="AC202" s="53"/>
      <c r="AD202" s="518"/>
      <c r="AE202" s="478"/>
      <c r="AF202" s="102">
        <v>0</v>
      </c>
      <c r="AG202" s="101"/>
      <c r="AH202" s="53"/>
      <c r="AI202" s="518"/>
      <c r="AJ202" s="478"/>
      <c r="AK202" s="102">
        <v>0</v>
      </c>
      <c r="AL202" s="101"/>
      <c r="AM202" s="53"/>
      <c r="AN202" s="518"/>
      <c r="AO202" s="478"/>
      <c r="AP202" s="102">
        <v>0</v>
      </c>
      <c r="AQ202" s="101"/>
      <c r="AR202" s="53"/>
      <c r="AS202" s="518"/>
      <c r="AT202" s="522"/>
      <c r="AU202" s="102">
        <v>0</v>
      </c>
      <c r="AV202" s="101"/>
      <c r="AW202" s="53"/>
      <c r="AX202" s="518"/>
      <c r="AY202" s="522"/>
      <c r="AZ202" s="102">
        <v>0</v>
      </c>
      <c r="BA202" s="101"/>
      <c r="BB202" s="53"/>
      <c r="BC202" s="518"/>
      <c r="BD202" s="478"/>
      <c r="BE202" s="102">
        <v>0</v>
      </c>
      <c r="BF202" s="101"/>
      <c r="BG202" s="53"/>
      <c r="BH202" s="518"/>
      <c r="BI202" s="522"/>
      <c r="BJ202" s="102">
        <v>0</v>
      </c>
      <c r="BK202" s="101"/>
      <c r="BL202" s="53"/>
      <c r="BM202" s="518"/>
      <c r="BN202" s="522"/>
      <c r="BO202" s="102">
        <v>0</v>
      </c>
      <c r="BP202" s="101"/>
      <c r="BQ202" s="53"/>
      <c r="BR202" s="518"/>
      <c r="BS202" s="478"/>
      <c r="BT202" s="102">
        <f>SUM(L202:BO202)</f>
        <v>0</v>
      </c>
      <c r="BU202" s="101"/>
      <c r="BV202" s="53"/>
      <c r="BW202" s="465"/>
      <c r="BZ202" s="410"/>
      <c r="CA202" s="410"/>
    </row>
    <row r="203" spans="1:79" ht="12.75" hidden="1" customHeight="1" x14ac:dyDescent="0.2">
      <c r="A203" s="377"/>
      <c r="B203" s="377"/>
      <c r="D203" s="465" t="s">
        <v>424</v>
      </c>
      <c r="F203" s="417"/>
      <c r="G203" s="53">
        <v>0</v>
      </c>
      <c r="H203" s="52"/>
      <c r="I203" s="53"/>
      <c r="J203" s="518"/>
      <c r="K203" s="417"/>
      <c r="L203" s="53">
        <v>0</v>
      </c>
      <c r="M203" s="52"/>
      <c r="N203" s="53"/>
      <c r="O203" s="518"/>
      <c r="P203" s="417"/>
      <c r="Q203" s="53">
        <v>0</v>
      </c>
      <c r="R203" s="52"/>
      <c r="S203" s="53"/>
      <c r="T203" s="518"/>
      <c r="U203" s="417"/>
      <c r="V203" s="53">
        <v>0</v>
      </c>
      <c r="W203" s="52"/>
      <c r="X203" s="53"/>
      <c r="Y203" s="518"/>
      <c r="Z203" s="417"/>
      <c r="AA203" s="53">
        <v>0</v>
      </c>
      <c r="AB203" s="52"/>
      <c r="AC203" s="53"/>
      <c r="AD203" s="518"/>
      <c r="AE203" s="417"/>
      <c r="AF203" s="53">
        <v>0</v>
      </c>
      <c r="AG203" s="52"/>
      <c r="AH203" s="53"/>
      <c r="AI203" s="518"/>
      <c r="AJ203" s="417"/>
      <c r="AK203" s="53">
        <v>0</v>
      </c>
      <c r="AL203" s="52"/>
      <c r="AM203" s="53"/>
      <c r="AN203" s="518"/>
      <c r="AO203" s="417"/>
      <c r="AP203" s="53">
        <v>0</v>
      </c>
      <c r="AQ203" s="52"/>
      <c r="AR203" s="53"/>
      <c r="AS203" s="518"/>
      <c r="AT203" s="417"/>
      <c r="AU203" s="53">
        <v>0</v>
      </c>
      <c r="AV203" s="52"/>
      <c r="AW203" s="53"/>
      <c r="AX203" s="518"/>
      <c r="AY203" s="417"/>
      <c r="AZ203" s="53">
        <v>0</v>
      </c>
      <c r="BA203" s="52"/>
      <c r="BB203" s="53"/>
      <c r="BC203" s="518"/>
      <c r="BD203" s="417"/>
      <c r="BE203" s="53">
        <v>0</v>
      </c>
      <c r="BF203" s="52"/>
      <c r="BG203" s="53"/>
      <c r="BH203" s="518"/>
      <c r="BI203" s="417"/>
      <c r="BJ203" s="53">
        <v>0</v>
      </c>
      <c r="BK203" s="52"/>
      <c r="BL203" s="53"/>
      <c r="BM203" s="518"/>
      <c r="BN203" s="417"/>
      <c r="BO203" s="53">
        <v>0</v>
      </c>
      <c r="BP203" s="52"/>
      <c r="BQ203" s="53"/>
      <c r="BR203" s="518"/>
      <c r="BS203" s="518"/>
      <c r="BT203" s="53">
        <f t="shared" si="0"/>
        <v>0</v>
      </c>
      <c r="BU203" s="52"/>
      <c r="BV203" s="53"/>
      <c r="BW203" s="465"/>
      <c r="BZ203" s="410"/>
      <c r="CA203" s="410"/>
    </row>
    <row r="204" spans="1:79" ht="12.75" hidden="1" customHeight="1" x14ac:dyDescent="0.2">
      <c r="A204" s="377"/>
      <c r="B204" s="377"/>
      <c r="D204" s="465" t="s">
        <v>425</v>
      </c>
      <c r="F204" s="478"/>
      <c r="G204" s="102">
        <v>0</v>
      </c>
      <c r="H204" s="101"/>
      <c r="I204" s="53"/>
      <c r="J204" s="518"/>
      <c r="K204" s="478"/>
      <c r="L204" s="102">
        <v>0</v>
      </c>
      <c r="M204" s="101"/>
      <c r="N204" s="53"/>
      <c r="O204" s="518"/>
      <c r="P204" s="478"/>
      <c r="Q204" s="102">
        <v>0</v>
      </c>
      <c r="R204" s="101"/>
      <c r="S204" s="53"/>
      <c r="T204" s="518"/>
      <c r="U204" s="478"/>
      <c r="V204" s="102">
        <v>0</v>
      </c>
      <c r="W204" s="101"/>
      <c r="X204" s="53"/>
      <c r="Y204" s="518"/>
      <c r="Z204" s="478"/>
      <c r="AA204" s="102">
        <v>0</v>
      </c>
      <c r="AB204" s="101"/>
      <c r="AC204" s="53"/>
      <c r="AD204" s="518"/>
      <c r="AE204" s="478"/>
      <c r="AF204" s="102">
        <v>0</v>
      </c>
      <c r="AG204" s="101"/>
      <c r="AH204" s="53"/>
      <c r="AI204" s="518"/>
      <c r="AJ204" s="522"/>
      <c r="AK204" s="102">
        <v>0</v>
      </c>
      <c r="AL204" s="101"/>
      <c r="AM204" s="53"/>
      <c r="AN204" s="518"/>
      <c r="AO204" s="522"/>
      <c r="AP204" s="102">
        <v>0</v>
      </c>
      <c r="AQ204" s="101"/>
      <c r="AR204" s="53"/>
      <c r="AS204" s="518"/>
      <c r="AT204" s="522"/>
      <c r="AU204" s="102">
        <v>0</v>
      </c>
      <c r="AV204" s="101"/>
      <c r="AW204" s="53"/>
      <c r="AX204" s="518"/>
      <c r="AY204" s="522"/>
      <c r="AZ204" s="102">
        <v>0</v>
      </c>
      <c r="BA204" s="101"/>
      <c r="BB204" s="53"/>
      <c r="BC204" s="518"/>
      <c r="BD204" s="522"/>
      <c r="BE204" s="102">
        <v>0</v>
      </c>
      <c r="BF204" s="101"/>
      <c r="BG204" s="53"/>
      <c r="BH204" s="518"/>
      <c r="BI204" s="522"/>
      <c r="BJ204" s="102">
        <v>0</v>
      </c>
      <c r="BK204" s="101"/>
      <c r="BL204" s="53"/>
      <c r="BM204" s="518"/>
      <c r="BN204" s="522"/>
      <c r="BO204" s="102">
        <v>0</v>
      </c>
      <c r="BP204" s="101"/>
      <c r="BQ204" s="53"/>
      <c r="BR204" s="518"/>
      <c r="BS204" s="522"/>
      <c r="BT204" s="102">
        <f t="shared" si="0"/>
        <v>0</v>
      </c>
      <c r="BU204" s="101"/>
      <c r="BV204" s="53"/>
      <c r="BW204" s="465"/>
      <c r="BZ204" s="410"/>
      <c r="CA204" s="410"/>
    </row>
    <row r="205" spans="1:79" x14ac:dyDescent="0.2">
      <c r="A205" s="377"/>
      <c r="B205" s="377"/>
      <c r="D205" s="465"/>
      <c r="F205" s="377"/>
      <c r="G205" s="53"/>
      <c r="H205" s="53"/>
      <c r="I205" s="53"/>
      <c r="J205" s="518"/>
      <c r="K205" s="53"/>
      <c r="L205" s="53"/>
      <c r="M205" s="53"/>
      <c r="N205" s="53"/>
      <c r="O205" s="518"/>
      <c r="P205" s="53"/>
      <c r="Q205" s="53"/>
      <c r="R205" s="53"/>
      <c r="S205" s="53"/>
      <c r="T205" s="518"/>
      <c r="U205" s="53"/>
      <c r="V205" s="53"/>
      <c r="W205" s="53"/>
      <c r="X205" s="53"/>
      <c r="Y205" s="518"/>
      <c r="Z205" s="53"/>
      <c r="AA205" s="53"/>
      <c r="AB205" s="53"/>
      <c r="AC205" s="53"/>
      <c r="AD205" s="518"/>
      <c r="AE205" s="53"/>
      <c r="AF205" s="53"/>
      <c r="AG205" s="53"/>
      <c r="AH205" s="53"/>
      <c r="AI205" s="518"/>
      <c r="AJ205" s="53"/>
      <c r="AK205" s="53"/>
      <c r="AL205" s="53"/>
      <c r="AM205" s="53"/>
      <c r="AN205" s="518"/>
      <c r="AO205" s="53"/>
      <c r="AP205" s="53"/>
      <c r="AQ205" s="53"/>
      <c r="AR205" s="53"/>
      <c r="AS205" s="518"/>
      <c r="AT205" s="53"/>
      <c r="AU205" s="53"/>
      <c r="AV205" s="53"/>
      <c r="AW205" s="53"/>
      <c r="AX205" s="518"/>
      <c r="AY205" s="53"/>
      <c r="AZ205" s="53"/>
      <c r="BA205" s="53"/>
      <c r="BB205" s="53"/>
      <c r="BC205" s="518"/>
      <c r="BD205" s="53"/>
      <c r="BE205" s="53"/>
      <c r="BF205" s="53"/>
      <c r="BG205" s="53"/>
      <c r="BH205" s="518"/>
      <c r="BI205" s="53"/>
      <c r="BJ205" s="53"/>
      <c r="BK205" s="53"/>
      <c r="BL205" s="53"/>
      <c r="BM205" s="518"/>
      <c r="BN205" s="53"/>
      <c r="BO205" s="53"/>
      <c r="BP205" s="53"/>
      <c r="BQ205" s="53"/>
      <c r="BR205" s="518"/>
      <c r="BS205" s="53"/>
      <c r="BT205" s="53"/>
      <c r="BU205" s="53"/>
      <c r="BV205" s="53"/>
      <c r="BW205" s="465"/>
      <c r="BZ205" s="410"/>
      <c r="CA205" s="410"/>
    </row>
    <row r="206" spans="1:79" hidden="1" x14ac:dyDescent="0.2">
      <c r="A206" s="377"/>
      <c r="B206" s="377"/>
      <c r="D206" s="465" t="s">
        <v>426</v>
      </c>
      <c r="F206" s="377"/>
      <c r="G206" s="53">
        <f>SUM(G207:G213)</f>
        <v>0</v>
      </c>
      <c r="H206" s="53"/>
      <c r="I206" s="53"/>
      <c r="J206" s="518"/>
      <c r="K206" s="377"/>
      <c r="L206" s="53">
        <f>SUM(L207:L213)</f>
        <v>0</v>
      </c>
      <c r="M206" s="53"/>
      <c r="N206" s="53"/>
      <c r="O206" s="518"/>
      <c r="P206" s="377"/>
      <c r="Q206" s="53">
        <f>SUM(Q207:Q213)</f>
        <v>0</v>
      </c>
      <c r="R206" s="53"/>
      <c r="S206" s="53"/>
      <c r="T206" s="518"/>
      <c r="U206" s="377"/>
      <c r="V206" s="53">
        <f>SUM(V207:V213)</f>
        <v>0</v>
      </c>
      <c r="W206" s="53"/>
      <c r="X206" s="53"/>
      <c r="Y206" s="518"/>
      <c r="Z206" s="377"/>
      <c r="AA206" s="53">
        <f>SUM(AA207:AA213)</f>
        <v>0</v>
      </c>
      <c r="AB206" s="53"/>
      <c r="AC206" s="53"/>
      <c r="AD206" s="518"/>
      <c r="AE206" s="377"/>
      <c r="AF206" s="53">
        <f>SUM(AF207:AF213)</f>
        <v>0</v>
      </c>
      <c r="AG206" s="53"/>
      <c r="AH206" s="53"/>
      <c r="AI206" s="518"/>
      <c r="AJ206" s="377"/>
      <c r="AK206" s="53">
        <f>SUM(AK207:AK213)</f>
        <v>0</v>
      </c>
      <c r="AL206" s="53"/>
      <c r="AM206" s="53"/>
      <c r="AN206" s="518"/>
      <c r="AO206" s="377"/>
      <c r="AP206" s="53">
        <f>SUM(AP207:AP213)</f>
        <v>0</v>
      </c>
      <c r="AQ206" s="53"/>
      <c r="AR206" s="53"/>
      <c r="AS206" s="518"/>
      <c r="AT206" s="377"/>
      <c r="AU206" s="53">
        <f>SUM(AU207:AU213)</f>
        <v>0</v>
      </c>
      <c r="AV206" s="53"/>
      <c r="AW206" s="53"/>
      <c r="AX206" s="518"/>
      <c r="AY206" s="377"/>
      <c r="AZ206" s="53">
        <f>SUM(AZ207:AZ213)</f>
        <v>0</v>
      </c>
      <c r="BA206" s="53"/>
      <c r="BB206" s="53"/>
      <c r="BC206" s="518"/>
      <c r="BD206" s="377"/>
      <c r="BE206" s="53">
        <f>SUM(BE207:BE213)</f>
        <v>0</v>
      </c>
      <c r="BF206" s="53"/>
      <c r="BG206" s="53"/>
      <c r="BH206" s="518"/>
      <c r="BI206" s="377"/>
      <c r="BJ206" s="53">
        <f>SUM(BJ207:BJ213)</f>
        <v>0</v>
      </c>
      <c r="BK206" s="53"/>
      <c r="BL206" s="53"/>
      <c r="BM206" s="518"/>
      <c r="BN206" s="377"/>
      <c r="BO206" s="53">
        <f>SUM(BO207:BO213)</f>
        <v>0</v>
      </c>
      <c r="BP206" s="53"/>
      <c r="BQ206" s="53"/>
      <c r="BR206" s="518"/>
      <c r="BS206" s="377"/>
      <c r="BT206" s="53">
        <f>SUM(BT207:BT213)</f>
        <v>0</v>
      </c>
      <c r="BU206" s="53"/>
      <c r="BV206" s="53"/>
      <c r="BW206" s="465"/>
      <c r="BZ206" s="410"/>
      <c r="CA206" s="410"/>
    </row>
    <row r="207" spans="1:79" hidden="1" x14ac:dyDescent="0.2">
      <c r="A207" s="377"/>
      <c r="B207" s="377"/>
      <c r="D207" s="465" t="s">
        <v>427</v>
      </c>
      <c r="F207" s="573"/>
      <c r="G207" s="520">
        <v>0</v>
      </c>
      <c r="H207" s="521"/>
      <c r="I207" s="53"/>
      <c r="J207" s="518"/>
      <c r="K207" s="573"/>
      <c r="L207" s="520">
        <v>0</v>
      </c>
      <c r="M207" s="521"/>
      <c r="N207" s="53"/>
      <c r="O207" s="518"/>
      <c r="P207" s="573"/>
      <c r="Q207" s="520">
        <v>0</v>
      </c>
      <c r="R207" s="521"/>
      <c r="S207" s="53"/>
      <c r="T207" s="518"/>
      <c r="U207" s="573"/>
      <c r="V207" s="520">
        <v>0</v>
      </c>
      <c r="W207" s="521"/>
      <c r="X207" s="53"/>
      <c r="Y207" s="518"/>
      <c r="Z207" s="573"/>
      <c r="AA207" s="520">
        <v>0</v>
      </c>
      <c r="AB207" s="521"/>
      <c r="AC207" s="53"/>
      <c r="AD207" s="518"/>
      <c r="AE207" s="469"/>
      <c r="AF207" s="574">
        <v>0</v>
      </c>
      <c r="AG207" s="521"/>
      <c r="AH207" s="53"/>
      <c r="AI207" s="518"/>
      <c r="AJ207" s="573"/>
      <c r="AK207" s="520">
        <v>0</v>
      </c>
      <c r="AL207" s="521"/>
      <c r="AM207" s="53"/>
      <c r="AN207" s="518"/>
      <c r="AO207" s="573"/>
      <c r="AP207" s="520">
        <v>0</v>
      </c>
      <c r="AQ207" s="521"/>
      <c r="AR207" s="53"/>
      <c r="AS207" s="518"/>
      <c r="AT207" s="573"/>
      <c r="AU207" s="520">
        <v>0</v>
      </c>
      <c r="AV207" s="521"/>
      <c r="AW207" s="53"/>
      <c r="AX207" s="518"/>
      <c r="AY207" s="573"/>
      <c r="AZ207" s="520">
        <v>0</v>
      </c>
      <c r="BA207" s="521"/>
      <c r="BB207" s="53"/>
      <c r="BC207" s="518"/>
      <c r="BD207" s="573"/>
      <c r="BE207" s="520">
        <v>0</v>
      </c>
      <c r="BF207" s="521"/>
      <c r="BG207" s="53"/>
      <c r="BH207" s="518"/>
      <c r="BI207" s="573"/>
      <c r="BJ207" s="520">
        <v>0</v>
      </c>
      <c r="BK207" s="521"/>
      <c r="BL207" s="53"/>
      <c r="BM207" s="518"/>
      <c r="BN207" s="573"/>
      <c r="BO207" s="520">
        <v>0</v>
      </c>
      <c r="BP207" s="521"/>
      <c r="BQ207" s="53"/>
      <c r="BR207" s="518"/>
      <c r="BS207" s="573"/>
      <c r="BT207" s="520">
        <f>SUM(L207:BO207)</f>
        <v>0</v>
      </c>
      <c r="BU207" s="521"/>
      <c r="BV207" s="53"/>
      <c r="BW207" s="465"/>
      <c r="BZ207" s="410"/>
      <c r="CA207" s="410"/>
    </row>
    <row r="208" spans="1:79" hidden="1" x14ac:dyDescent="0.2">
      <c r="A208" s="377"/>
      <c r="B208" s="377"/>
      <c r="D208" s="465" t="s">
        <v>428</v>
      </c>
      <c r="F208" s="563"/>
      <c r="G208" s="53">
        <v>0</v>
      </c>
      <c r="H208" s="52"/>
      <c r="I208" s="53"/>
      <c r="J208" s="518"/>
      <c r="K208" s="563"/>
      <c r="L208" s="53">
        <v>0</v>
      </c>
      <c r="M208" s="52"/>
      <c r="N208" s="53"/>
      <c r="O208" s="518"/>
      <c r="P208" s="563"/>
      <c r="Q208" s="53">
        <v>0</v>
      </c>
      <c r="R208" s="52"/>
      <c r="S208" s="53"/>
      <c r="T208" s="518"/>
      <c r="U208" s="563"/>
      <c r="V208" s="53">
        <v>0</v>
      </c>
      <c r="W208" s="52"/>
      <c r="X208" s="53"/>
      <c r="Y208" s="518"/>
      <c r="Z208" s="563"/>
      <c r="AA208" s="53">
        <v>0</v>
      </c>
      <c r="AB208" s="52"/>
      <c r="AC208" s="53"/>
      <c r="AD208" s="518"/>
      <c r="AE208" s="417"/>
      <c r="AF208" s="222">
        <v>0</v>
      </c>
      <c r="AG208" s="52"/>
      <c r="AH208" s="53"/>
      <c r="AI208" s="518"/>
      <c r="AJ208" s="563"/>
      <c r="AK208" s="53">
        <v>0</v>
      </c>
      <c r="AL208" s="52"/>
      <c r="AM208" s="53"/>
      <c r="AN208" s="518"/>
      <c r="AO208" s="563"/>
      <c r="AP208" s="53">
        <v>0</v>
      </c>
      <c r="AQ208" s="52"/>
      <c r="AR208" s="53"/>
      <c r="AS208" s="518"/>
      <c r="AT208" s="563"/>
      <c r="AU208" s="53">
        <v>0</v>
      </c>
      <c r="AV208" s="52"/>
      <c r="AW208" s="53"/>
      <c r="AX208" s="518"/>
      <c r="AY208" s="563"/>
      <c r="AZ208" s="53">
        <v>0</v>
      </c>
      <c r="BA208" s="52"/>
      <c r="BB208" s="53"/>
      <c r="BC208" s="518"/>
      <c r="BD208" s="563"/>
      <c r="BE208" s="53">
        <v>0</v>
      </c>
      <c r="BF208" s="52"/>
      <c r="BG208" s="53"/>
      <c r="BH208" s="518"/>
      <c r="BI208" s="563"/>
      <c r="BJ208" s="53">
        <v>0</v>
      </c>
      <c r="BK208" s="52"/>
      <c r="BL208" s="53"/>
      <c r="BM208" s="518"/>
      <c r="BN208" s="563"/>
      <c r="BO208" s="53">
        <v>0</v>
      </c>
      <c r="BP208" s="52"/>
      <c r="BQ208" s="53"/>
      <c r="BR208" s="518"/>
      <c r="BS208" s="563"/>
      <c r="BT208" s="53">
        <f t="shared" ref="BT208:BT213" si="1">SUM(L208:BO208)</f>
        <v>0</v>
      </c>
      <c r="BU208" s="52"/>
      <c r="BV208" s="53"/>
      <c r="BW208" s="465"/>
      <c r="BZ208" s="410"/>
      <c r="CA208" s="410"/>
    </row>
    <row r="209" spans="1:79" hidden="1" x14ac:dyDescent="0.2">
      <c r="A209" s="377"/>
      <c r="B209" s="377"/>
      <c r="D209" s="465" t="s">
        <v>429</v>
      </c>
      <c r="F209" s="563"/>
      <c r="G209" s="53">
        <v>0</v>
      </c>
      <c r="H209" s="52"/>
      <c r="I209" s="53"/>
      <c r="J209" s="518"/>
      <c r="K209" s="563"/>
      <c r="L209" s="53">
        <v>0</v>
      </c>
      <c r="M209" s="52"/>
      <c r="N209" s="53"/>
      <c r="O209" s="518"/>
      <c r="P209" s="563"/>
      <c r="Q209" s="53">
        <v>0</v>
      </c>
      <c r="R209" s="52"/>
      <c r="S209" s="53"/>
      <c r="T209" s="518"/>
      <c r="U209" s="563"/>
      <c r="V209" s="53">
        <v>0</v>
      </c>
      <c r="W209" s="52"/>
      <c r="X209" s="53"/>
      <c r="Y209" s="518"/>
      <c r="Z209" s="563"/>
      <c r="AA209" s="53">
        <v>0</v>
      </c>
      <c r="AB209" s="52"/>
      <c r="AC209" s="53"/>
      <c r="AD209" s="518"/>
      <c r="AE209" s="417"/>
      <c r="AF209" s="222">
        <v>0</v>
      </c>
      <c r="AG209" s="52"/>
      <c r="AH209" s="53"/>
      <c r="AI209" s="518"/>
      <c r="AJ209" s="563"/>
      <c r="AK209" s="53">
        <v>0</v>
      </c>
      <c r="AL209" s="52"/>
      <c r="AM209" s="53"/>
      <c r="AN209" s="518"/>
      <c r="AO209" s="563"/>
      <c r="AP209" s="53">
        <v>0</v>
      </c>
      <c r="AQ209" s="52"/>
      <c r="AR209" s="53"/>
      <c r="AS209" s="518"/>
      <c r="AT209" s="563"/>
      <c r="AU209" s="53">
        <v>0</v>
      </c>
      <c r="AV209" s="52"/>
      <c r="AW209" s="53"/>
      <c r="AX209" s="518"/>
      <c r="AY209" s="563"/>
      <c r="AZ209" s="53">
        <v>0</v>
      </c>
      <c r="BA209" s="52"/>
      <c r="BB209" s="53"/>
      <c r="BC209" s="518"/>
      <c r="BD209" s="563"/>
      <c r="BE209" s="53">
        <v>0</v>
      </c>
      <c r="BF209" s="52"/>
      <c r="BG209" s="53"/>
      <c r="BH209" s="518"/>
      <c r="BI209" s="563"/>
      <c r="BJ209" s="53">
        <v>0</v>
      </c>
      <c r="BK209" s="52"/>
      <c r="BL209" s="53"/>
      <c r="BM209" s="518"/>
      <c r="BN209" s="563"/>
      <c r="BO209" s="53">
        <v>0</v>
      </c>
      <c r="BP209" s="52"/>
      <c r="BQ209" s="53"/>
      <c r="BR209" s="518"/>
      <c r="BS209" s="563"/>
      <c r="BT209" s="53">
        <f>SUM(L209:BO209)</f>
        <v>0</v>
      </c>
      <c r="BU209" s="52"/>
      <c r="BV209" s="53"/>
      <c r="BW209" s="465"/>
      <c r="BZ209" s="410"/>
      <c r="CA209" s="410"/>
    </row>
    <row r="210" spans="1:79" hidden="1" x14ac:dyDescent="0.2">
      <c r="A210" s="377"/>
      <c r="B210" s="377"/>
      <c r="D210" s="465" t="s">
        <v>430</v>
      </c>
      <c r="F210" s="575"/>
      <c r="G210" s="102">
        <v>0</v>
      </c>
      <c r="H210" s="101"/>
      <c r="I210" s="53"/>
      <c r="J210" s="518"/>
      <c r="K210" s="575"/>
      <c r="L210" s="102">
        <v>0</v>
      </c>
      <c r="M210" s="101"/>
      <c r="N210" s="53"/>
      <c r="O210" s="518"/>
      <c r="P210" s="575"/>
      <c r="Q210" s="102">
        <v>0</v>
      </c>
      <c r="R210" s="101"/>
      <c r="S210" s="53"/>
      <c r="T210" s="518"/>
      <c r="U210" s="575"/>
      <c r="V210" s="102">
        <v>0</v>
      </c>
      <c r="W210" s="101"/>
      <c r="X210" s="53"/>
      <c r="Y210" s="518"/>
      <c r="Z210" s="575"/>
      <c r="AA210" s="102">
        <v>0</v>
      </c>
      <c r="AB210" s="101"/>
      <c r="AC210" s="53"/>
      <c r="AD210" s="518"/>
      <c r="AE210" s="478"/>
      <c r="AF210" s="576">
        <v>0</v>
      </c>
      <c r="AG210" s="101"/>
      <c r="AH210" s="53"/>
      <c r="AI210" s="518"/>
      <c r="AJ210" s="575"/>
      <c r="AK210" s="102">
        <v>0</v>
      </c>
      <c r="AL210" s="101"/>
      <c r="AM210" s="53"/>
      <c r="AN210" s="518"/>
      <c r="AO210" s="575"/>
      <c r="AP210" s="102">
        <v>0</v>
      </c>
      <c r="AQ210" s="101"/>
      <c r="AR210" s="53"/>
      <c r="AS210" s="518"/>
      <c r="AT210" s="575"/>
      <c r="AU210" s="102">
        <v>0</v>
      </c>
      <c r="AV210" s="101"/>
      <c r="AW210" s="53"/>
      <c r="AX210" s="518"/>
      <c r="AY210" s="575"/>
      <c r="AZ210" s="102">
        <v>0</v>
      </c>
      <c r="BA210" s="101"/>
      <c r="BB210" s="53"/>
      <c r="BC210" s="518"/>
      <c r="BD210" s="575"/>
      <c r="BE210" s="102">
        <v>0</v>
      </c>
      <c r="BF210" s="101"/>
      <c r="BG210" s="53"/>
      <c r="BH210" s="518"/>
      <c r="BI210" s="575"/>
      <c r="BJ210" s="102">
        <v>0</v>
      </c>
      <c r="BK210" s="101"/>
      <c r="BL210" s="53"/>
      <c r="BM210" s="518"/>
      <c r="BN210" s="575"/>
      <c r="BO210" s="102">
        <v>0</v>
      </c>
      <c r="BP210" s="101"/>
      <c r="BQ210" s="53"/>
      <c r="BR210" s="518"/>
      <c r="BS210" s="575"/>
      <c r="BT210" s="102">
        <f t="shared" si="1"/>
        <v>0</v>
      </c>
      <c r="BU210" s="101"/>
      <c r="BV210" s="53"/>
      <c r="BW210" s="465"/>
      <c r="BZ210" s="410"/>
      <c r="CA210" s="410"/>
    </row>
    <row r="211" spans="1:79" hidden="1" x14ac:dyDescent="0.2">
      <c r="A211" s="377"/>
      <c r="B211" s="377"/>
      <c r="D211" s="465" t="s">
        <v>431</v>
      </c>
      <c r="F211" s="417"/>
      <c r="G211" s="53">
        <v>0</v>
      </c>
      <c r="H211" s="52"/>
      <c r="I211" s="53"/>
      <c r="J211" s="518"/>
      <c r="K211" s="417"/>
      <c r="L211" s="53"/>
      <c r="M211" s="52"/>
      <c r="N211" s="53"/>
      <c r="O211" s="518"/>
      <c r="P211" s="417"/>
      <c r="Q211" s="53"/>
      <c r="R211" s="52"/>
      <c r="S211" s="53"/>
      <c r="T211" s="518"/>
      <c r="U211" s="417"/>
      <c r="V211" s="53"/>
      <c r="W211" s="52"/>
      <c r="X211" s="53"/>
      <c r="Y211" s="518"/>
      <c r="Z211" s="417"/>
      <c r="AA211" s="53"/>
      <c r="AB211" s="52"/>
      <c r="AC211" s="53"/>
      <c r="AD211" s="518"/>
      <c r="AE211" s="417"/>
      <c r="AF211" s="53"/>
      <c r="AG211" s="52"/>
      <c r="AH211" s="53"/>
      <c r="AI211" s="518"/>
      <c r="AJ211" s="417"/>
      <c r="AK211" s="53"/>
      <c r="AL211" s="52"/>
      <c r="AM211" s="53"/>
      <c r="AN211" s="518"/>
      <c r="AO211" s="417"/>
      <c r="AP211" s="53"/>
      <c r="AQ211" s="52"/>
      <c r="AR211" s="53"/>
      <c r="AS211" s="518"/>
      <c r="AT211" s="417"/>
      <c r="AU211" s="53"/>
      <c r="AV211" s="52"/>
      <c r="AW211" s="53"/>
      <c r="AX211" s="518"/>
      <c r="AY211" s="417"/>
      <c r="AZ211" s="53"/>
      <c r="BA211" s="52"/>
      <c r="BB211" s="53"/>
      <c r="BC211" s="518"/>
      <c r="BD211" s="417"/>
      <c r="BE211" s="53"/>
      <c r="BF211" s="52"/>
      <c r="BG211" s="53"/>
      <c r="BH211" s="518"/>
      <c r="BI211" s="417"/>
      <c r="BJ211" s="53">
        <v>0</v>
      </c>
      <c r="BK211" s="52"/>
      <c r="BL211" s="53"/>
      <c r="BM211" s="518"/>
      <c r="BN211" s="417"/>
      <c r="BO211" s="53">
        <v>0</v>
      </c>
      <c r="BP211" s="52"/>
      <c r="BQ211" s="53"/>
      <c r="BR211" s="518"/>
      <c r="BS211" s="417"/>
      <c r="BT211" s="53">
        <f t="shared" si="1"/>
        <v>0</v>
      </c>
      <c r="BU211" s="52"/>
      <c r="BV211" s="53"/>
      <c r="BW211" s="465"/>
      <c r="BZ211" s="410"/>
      <c r="CA211" s="410"/>
    </row>
    <row r="212" spans="1:79" hidden="1" x14ac:dyDescent="0.2">
      <c r="A212" s="377"/>
      <c r="B212" s="377"/>
      <c r="D212" s="465" t="s">
        <v>432</v>
      </c>
      <c r="F212" s="417"/>
      <c r="G212" s="53">
        <v>0</v>
      </c>
      <c r="H212" s="52"/>
      <c r="I212" s="53"/>
      <c r="J212" s="518"/>
      <c r="K212" s="417"/>
      <c r="L212" s="53"/>
      <c r="M212" s="52"/>
      <c r="N212" s="53"/>
      <c r="O212" s="518"/>
      <c r="P212" s="417"/>
      <c r="Q212" s="53"/>
      <c r="R212" s="52"/>
      <c r="S212" s="53"/>
      <c r="T212" s="518"/>
      <c r="U212" s="417"/>
      <c r="V212" s="53"/>
      <c r="W212" s="52"/>
      <c r="X212" s="53"/>
      <c r="Y212" s="518"/>
      <c r="Z212" s="417"/>
      <c r="AA212" s="53"/>
      <c r="AB212" s="52"/>
      <c r="AC212" s="53"/>
      <c r="AD212" s="518"/>
      <c r="AE212" s="417"/>
      <c r="AF212" s="53"/>
      <c r="AG212" s="52"/>
      <c r="AH212" s="53"/>
      <c r="AI212" s="518"/>
      <c r="AJ212" s="417"/>
      <c r="AK212" s="53"/>
      <c r="AL212" s="52"/>
      <c r="AM212" s="53"/>
      <c r="AN212" s="518"/>
      <c r="AO212" s="417"/>
      <c r="AP212" s="53"/>
      <c r="AQ212" s="52"/>
      <c r="AR212" s="53"/>
      <c r="AS212" s="518"/>
      <c r="AT212" s="417"/>
      <c r="AU212" s="53"/>
      <c r="AV212" s="52"/>
      <c r="AW212" s="53"/>
      <c r="AX212" s="518"/>
      <c r="AY212" s="417"/>
      <c r="AZ212" s="53"/>
      <c r="BA212" s="52"/>
      <c r="BB212" s="53"/>
      <c r="BC212" s="518"/>
      <c r="BD212" s="417"/>
      <c r="BE212" s="53"/>
      <c r="BF212" s="52"/>
      <c r="BG212" s="53"/>
      <c r="BH212" s="518"/>
      <c r="BI212" s="417"/>
      <c r="BJ212" s="53">
        <v>0</v>
      </c>
      <c r="BK212" s="52"/>
      <c r="BL212" s="53"/>
      <c r="BM212" s="518"/>
      <c r="BN212" s="417"/>
      <c r="BO212" s="53">
        <v>0</v>
      </c>
      <c r="BP212" s="52"/>
      <c r="BQ212" s="53"/>
      <c r="BR212" s="518"/>
      <c r="BS212" s="417"/>
      <c r="BT212" s="53">
        <f t="shared" si="1"/>
        <v>0</v>
      </c>
      <c r="BU212" s="52"/>
      <c r="BV212" s="53"/>
      <c r="BW212" s="465"/>
      <c r="BZ212" s="410"/>
      <c r="CA212" s="410"/>
    </row>
    <row r="213" spans="1:79" hidden="1" x14ac:dyDescent="0.2">
      <c r="A213" s="377"/>
      <c r="B213" s="377"/>
      <c r="D213" s="465" t="s">
        <v>433</v>
      </c>
      <c r="F213" s="478"/>
      <c r="G213" s="102">
        <v>0</v>
      </c>
      <c r="H213" s="101"/>
      <c r="I213" s="53"/>
      <c r="J213" s="518"/>
      <c r="K213" s="478"/>
      <c r="L213" s="102">
        <v>0</v>
      </c>
      <c r="M213" s="101"/>
      <c r="N213" s="53"/>
      <c r="O213" s="518"/>
      <c r="P213" s="478"/>
      <c r="Q213" s="102">
        <v>0</v>
      </c>
      <c r="R213" s="101"/>
      <c r="S213" s="53"/>
      <c r="T213" s="518"/>
      <c r="U213" s="478"/>
      <c r="V213" s="102">
        <v>0</v>
      </c>
      <c r="W213" s="101"/>
      <c r="X213" s="53"/>
      <c r="Y213" s="518"/>
      <c r="Z213" s="478"/>
      <c r="AA213" s="102">
        <v>0</v>
      </c>
      <c r="AB213" s="101"/>
      <c r="AC213" s="53"/>
      <c r="AD213" s="518"/>
      <c r="AE213" s="478"/>
      <c r="AF213" s="102">
        <v>0</v>
      </c>
      <c r="AG213" s="101"/>
      <c r="AH213" s="53"/>
      <c r="AI213" s="518"/>
      <c r="AJ213" s="478"/>
      <c r="AK213" s="102">
        <v>0</v>
      </c>
      <c r="AL213" s="101"/>
      <c r="AM213" s="53"/>
      <c r="AN213" s="518"/>
      <c r="AO213" s="478"/>
      <c r="AP213" s="102">
        <v>0</v>
      </c>
      <c r="AQ213" s="101"/>
      <c r="AR213" s="53"/>
      <c r="AS213" s="518"/>
      <c r="AT213" s="478"/>
      <c r="AU213" s="102">
        <v>0</v>
      </c>
      <c r="AV213" s="101"/>
      <c r="AW213" s="53"/>
      <c r="AX213" s="518"/>
      <c r="AY213" s="478"/>
      <c r="AZ213" s="102">
        <v>0</v>
      </c>
      <c r="BA213" s="101"/>
      <c r="BB213" s="53"/>
      <c r="BC213" s="518"/>
      <c r="BD213" s="478"/>
      <c r="BE213" s="102">
        <v>0</v>
      </c>
      <c r="BF213" s="101"/>
      <c r="BG213" s="53"/>
      <c r="BH213" s="518"/>
      <c r="BI213" s="478"/>
      <c r="BJ213" s="102">
        <v>0</v>
      </c>
      <c r="BK213" s="101"/>
      <c r="BL213" s="53"/>
      <c r="BM213" s="518"/>
      <c r="BN213" s="478"/>
      <c r="BO213" s="102">
        <v>0</v>
      </c>
      <c r="BP213" s="101"/>
      <c r="BQ213" s="53"/>
      <c r="BR213" s="518"/>
      <c r="BS213" s="478"/>
      <c r="BT213" s="102">
        <f t="shared" si="1"/>
        <v>0</v>
      </c>
      <c r="BU213" s="101"/>
      <c r="BV213" s="53"/>
      <c r="BW213" s="465"/>
      <c r="BZ213" s="410"/>
      <c r="CA213" s="410"/>
    </row>
    <row r="214" spans="1:79" hidden="1" x14ac:dyDescent="0.2">
      <c r="A214" s="377"/>
      <c r="B214" s="377"/>
      <c r="D214" s="465"/>
      <c r="E214" s="572"/>
      <c r="F214" s="259"/>
      <c r="G214" s="53"/>
      <c r="H214" s="53"/>
      <c r="I214" s="53"/>
      <c r="J214" s="518"/>
      <c r="K214" s="259"/>
      <c r="L214" s="53"/>
      <c r="M214" s="53"/>
      <c r="N214" s="53"/>
      <c r="O214" s="518"/>
      <c r="P214" s="259"/>
      <c r="Q214" s="53"/>
      <c r="R214" s="53"/>
      <c r="S214" s="53"/>
      <c r="T214" s="518"/>
      <c r="U214" s="259"/>
      <c r="V214" s="53"/>
      <c r="W214" s="53"/>
      <c r="X214" s="53"/>
      <c r="Y214" s="518"/>
      <c r="Z214" s="259"/>
      <c r="AA214" s="53"/>
      <c r="AB214" s="53"/>
      <c r="AC214" s="53"/>
      <c r="AD214" s="518"/>
      <c r="AE214" s="259"/>
      <c r="AF214" s="53"/>
      <c r="AG214" s="53"/>
      <c r="AH214" s="53"/>
      <c r="AI214" s="518"/>
      <c r="AJ214" s="259"/>
      <c r="AK214" s="53"/>
      <c r="AL214" s="53"/>
      <c r="AM214" s="53"/>
      <c r="AN214" s="518"/>
      <c r="AO214" s="259"/>
      <c r="AP214" s="53"/>
      <c r="AQ214" s="53"/>
      <c r="AR214" s="53"/>
      <c r="AS214" s="518"/>
      <c r="AT214" s="259"/>
      <c r="AU214" s="53"/>
      <c r="AV214" s="53"/>
      <c r="AW214" s="53"/>
      <c r="AX214" s="518"/>
      <c r="AY214" s="259"/>
      <c r="AZ214" s="53"/>
      <c r="BA214" s="53"/>
      <c r="BB214" s="53"/>
      <c r="BC214" s="518"/>
      <c r="BD214" s="259"/>
      <c r="BE214" s="53"/>
      <c r="BF214" s="53"/>
      <c r="BG214" s="53"/>
      <c r="BH214" s="518"/>
      <c r="BI214" s="259"/>
      <c r="BJ214" s="53"/>
      <c r="BK214" s="53"/>
      <c r="BL214" s="53"/>
      <c r="BM214" s="518"/>
      <c r="BN214" s="259"/>
      <c r="BO214" s="53"/>
      <c r="BP214" s="53"/>
      <c r="BQ214" s="53"/>
      <c r="BR214" s="518"/>
      <c r="BS214" s="259"/>
      <c r="BT214" s="53"/>
      <c r="BU214" s="53"/>
      <c r="BV214" s="53"/>
      <c r="BW214" s="465"/>
      <c r="BZ214" s="410"/>
      <c r="CA214" s="410"/>
    </row>
    <row r="215" spans="1:79" x14ac:dyDescent="0.2">
      <c r="A215" s="377"/>
      <c r="B215" s="377"/>
      <c r="D215" s="253" t="s">
        <v>370</v>
      </c>
      <c r="E215" s="572"/>
      <c r="F215" s="259"/>
      <c r="G215" s="42">
        <f>SUM(G216:G219)</f>
        <v>0</v>
      </c>
      <c r="H215" s="53"/>
      <c r="I215" s="53"/>
      <c r="J215" s="518"/>
      <c r="K215" s="259"/>
      <c r="L215" s="42">
        <f>SUM(L216:L219)</f>
        <v>0</v>
      </c>
      <c r="M215" s="53"/>
      <c r="N215" s="53"/>
      <c r="O215" s="518"/>
      <c r="P215" s="259"/>
      <c r="Q215" s="42">
        <f>SUM(Q216:Q219)</f>
        <v>0</v>
      </c>
      <c r="R215" s="53"/>
      <c r="S215" s="53"/>
      <c r="T215" s="518"/>
      <c r="U215" s="259"/>
      <c r="V215" s="42">
        <f>SUM(V216:V219)</f>
        <v>0</v>
      </c>
      <c r="W215" s="53"/>
      <c r="X215" s="53"/>
      <c r="Y215" s="518"/>
      <c r="Z215" s="259"/>
      <c r="AA215" s="42">
        <f>SUM(AA216:AA219)</f>
        <v>0</v>
      </c>
      <c r="AB215" s="53"/>
      <c r="AC215" s="53"/>
      <c r="AD215" s="518"/>
      <c r="AE215" s="259"/>
      <c r="AF215" s="42">
        <f>SUM(AF216:AF219)</f>
        <v>0</v>
      </c>
      <c r="AG215" s="53"/>
      <c r="AH215" s="53"/>
      <c r="AI215" s="518"/>
      <c r="AJ215" s="259"/>
      <c r="AK215" s="42">
        <f>SUM(AK216:AK219)</f>
        <v>0</v>
      </c>
      <c r="AL215" s="53"/>
      <c r="AM215" s="52"/>
      <c r="AN215" s="518"/>
      <c r="AO215" s="259"/>
      <c r="AP215" s="42">
        <f>SUM(AP216:AP219)</f>
        <v>0</v>
      </c>
      <c r="AQ215" s="53"/>
      <c r="AR215" s="53"/>
      <c r="AS215" s="518"/>
      <c r="AT215" s="259"/>
      <c r="AU215" s="42">
        <f>SUM(AU216:AU219)</f>
        <v>0</v>
      </c>
      <c r="AV215" s="53"/>
      <c r="AW215" s="53"/>
      <c r="AX215" s="518"/>
      <c r="AY215" s="259"/>
      <c r="AZ215" s="42">
        <f>SUM(AZ216:AZ219)</f>
        <v>0</v>
      </c>
      <c r="BA215" s="53"/>
      <c r="BB215" s="53"/>
      <c r="BC215" s="518"/>
      <c r="BD215" s="259"/>
      <c r="BE215" s="42">
        <f>SUM(BE216:BE219)</f>
        <v>0</v>
      </c>
      <c r="BF215" s="53"/>
      <c r="BG215" s="53"/>
      <c r="BH215" s="518"/>
      <c r="BI215" s="259"/>
      <c r="BJ215" s="42">
        <f>SUM(BJ216:BJ219)</f>
        <v>0</v>
      </c>
      <c r="BK215" s="53"/>
      <c r="BL215" s="53"/>
      <c r="BM215" s="518"/>
      <c r="BN215" s="259"/>
      <c r="BO215" s="42">
        <f>SUM(BO216:BO219)</f>
        <v>0</v>
      </c>
      <c r="BP215" s="53"/>
      <c r="BQ215" s="53"/>
      <c r="BR215" s="518"/>
      <c r="BS215" s="259"/>
      <c r="BT215" s="42">
        <f>SUM(BT216:BT219)</f>
        <v>0</v>
      </c>
      <c r="BU215" s="53"/>
      <c r="BV215" s="53"/>
      <c r="BW215" s="465"/>
      <c r="BZ215" s="410"/>
      <c r="CA215" s="410"/>
    </row>
    <row r="216" spans="1:79" x14ac:dyDescent="0.2">
      <c r="A216" s="377"/>
      <c r="B216" s="377"/>
      <c r="D216" s="465" t="s">
        <v>378</v>
      </c>
      <c r="E216" s="572"/>
      <c r="F216" s="573"/>
      <c r="G216" s="520">
        <f>G232+G259+G265+G227+G253+G238+G276+G222+G248+G243+G281+G271</f>
        <v>0</v>
      </c>
      <c r="H216" s="521"/>
      <c r="I216" s="53"/>
      <c r="J216" s="518"/>
      <c r="K216" s="573"/>
      <c r="L216" s="520">
        <f>L232+L259+L265+L227+L253+L238+L276+L222+L248+L243+L281+L271</f>
        <v>0</v>
      </c>
      <c r="M216" s="521"/>
      <c r="N216" s="53"/>
      <c r="O216" s="518"/>
      <c r="P216" s="573"/>
      <c r="Q216" s="520">
        <f>Q232+Q259+Q265+Q227+Q253+Q238+Q276+Q222+Q248+Q243+Q281+Q271</f>
        <v>0</v>
      </c>
      <c r="R216" s="521"/>
      <c r="S216" s="53"/>
      <c r="T216" s="518"/>
      <c r="U216" s="573"/>
      <c r="V216" s="520">
        <f>V232+V259+V265+V227+V253+V238+V276+V222+V248+V243+V281+V271</f>
        <v>0</v>
      </c>
      <c r="W216" s="521"/>
      <c r="X216" s="53"/>
      <c r="Y216" s="518"/>
      <c r="Z216" s="573"/>
      <c r="AA216" s="520">
        <f>AA232+AA259+AA265+AA227+AA253+AA238+AA276+AA222+AA248+AA243+AA281+AA271</f>
        <v>0</v>
      </c>
      <c r="AB216" s="521"/>
      <c r="AC216" s="53"/>
      <c r="AD216" s="518"/>
      <c r="AE216" s="573"/>
      <c r="AF216" s="520">
        <f>AF232+AF259+AF265+AF227+AF253+AF238+AF276+AF222+AF248+AF243+AF281+AF271</f>
        <v>0</v>
      </c>
      <c r="AG216" s="521"/>
      <c r="AH216" s="53"/>
      <c r="AI216" s="518"/>
      <c r="AJ216" s="573"/>
      <c r="AK216" s="520">
        <f>AK232+AK259+AK265+AK227+AK253+AK238+AK276+AK222+AK248+AK243+AK281+AK271</f>
        <v>0</v>
      </c>
      <c r="AL216" s="521"/>
      <c r="AM216" s="52"/>
      <c r="AN216" s="518"/>
      <c r="AO216" s="573"/>
      <c r="AP216" s="520">
        <f>AP232+AP259+AP265+AP227+AP253+AP238+AP276+AP222+AP248+AP243+AP281+AP271</f>
        <v>0</v>
      </c>
      <c r="AQ216" s="521"/>
      <c r="AR216" s="53"/>
      <c r="AS216" s="518"/>
      <c r="AT216" s="573"/>
      <c r="AU216" s="520">
        <f>AU232+AU259+AU265+AU227+AU253+AU238+AU276+AU222+AU248+AU243+AU281+AU271</f>
        <v>0</v>
      </c>
      <c r="AV216" s="521"/>
      <c r="AW216" s="53"/>
      <c r="AX216" s="518"/>
      <c r="AY216" s="573"/>
      <c r="AZ216" s="520">
        <f>AZ232+AZ259+AZ265+AZ227+AZ253+AZ238+AZ276+AZ222+AZ248+AZ243+AZ281+AZ271</f>
        <v>0</v>
      </c>
      <c r="BA216" s="521"/>
      <c r="BB216" s="53"/>
      <c r="BC216" s="518"/>
      <c r="BD216" s="573"/>
      <c r="BE216" s="520">
        <f>BE232+BE259+BE265+BE227+BE253+BE238+BE276+BE222+BE248+BE243+BE281+BE271</f>
        <v>0</v>
      </c>
      <c r="BF216" s="521"/>
      <c r="BG216" s="53"/>
      <c r="BH216" s="518"/>
      <c r="BI216" s="573"/>
      <c r="BJ216" s="520">
        <f>BJ232+BJ259+BJ265+BJ227+BJ253+BJ238+BJ276+BJ222+BJ248+BJ243+BJ281+BJ271</f>
        <v>0</v>
      </c>
      <c r="BK216" s="521"/>
      <c r="BL216" s="53"/>
      <c r="BM216" s="518"/>
      <c r="BN216" s="573"/>
      <c r="BO216" s="520">
        <f>BO232+BO259+BO265+BO227+BO253+BO238+BO276+BO222+BO248+BO243+BO281+BO271</f>
        <v>0</v>
      </c>
      <c r="BP216" s="521"/>
      <c r="BQ216" s="53"/>
      <c r="BR216" s="518"/>
      <c r="BS216" s="573"/>
      <c r="BT216" s="520">
        <f>BT232+BT259+BT265+BT227+BT253+BT238+BT276+BT222+BT248+BT243+BT281+BT271</f>
        <v>0</v>
      </c>
      <c r="BU216" s="521"/>
      <c r="BV216" s="53"/>
      <c r="BW216" s="465"/>
      <c r="BZ216" s="410"/>
      <c r="CA216" s="410"/>
    </row>
    <row r="217" spans="1:79" x14ac:dyDescent="0.2">
      <c r="A217" s="377"/>
      <c r="B217" s="377"/>
      <c r="D217" s="465" t="s">
        <v>380</v>
      </c>
      <c r="E217" s="572"/>
      <c r="F217" s="563"/>
      <c r="G217" s="53">
        <f>G233+G260+G266+G228+G254+G239+G277+G223+G249+G244+G282+G272</f>
        <v>0</v>
      </c>
      <c r="H217" s="52"/>
      <c r="I217" s="53"/>
      <c r="J217" s="518"/>
      <c r="K217" s="563"/>
      <c r="L217" s="53">
        <f>L233+L260+L266+L228+L254+L239+L277+L223+L249+L244+L282+L272</f>
        <v>0</v>
      </c>
      <c r="M217" s="52"/>
      <c r="N217" s="53"/>
      <c r="O217" s="518"/>
      <c r="P217" s="563"/>
      <c r="Q217" s="53">
        <f>Q233+Q260+Q266+Q228+Q254+Q239+Q277+Q223+Q249+Q244+Q282+Q272</f>
        <v>0</v>
      </c>
      <c r="R217" s="52"/>
      <c r="S217" s="53"/>
      <c r="T217" s="518"/>
      <c r="U217" s="563"/>
      <c r="V217" s="53">
        <f>V233+V260+V266+V228+V254+V239+V277+V223+V249+V244+V282+V272</f>
        <v>0</v>
      </c>
      <c r="W217" s="52"/>
      <c r="X217" s="53"/>
      <c r="Y217" s="518"/>
      <c r="Z217" s="563"/>
      <c r="AA217" s="53">
        <f>AA233+AA260+AA266+AA228+AA254+AA239+AA277+AA223+AA249+AA244+AA282+AA272</f>
        <v>0</v>
      </c>
      <c r="AB217" s="52"/>
      <c r="AC217" s="53"/>
      <c r="AD217" s="518"/>
      <c r="AE217" s="563"/>
      <c r="AF217" s="53">
        <f>AF233+AF260+AF266+AF228+AF254+AF239+AF277+AF223+AF249+AF244+AF282+AF272</f>
        <v>0</v>
      </c>
      <c r="AG217" s="52"/>
      <c r="AH217" s="53"/>
      <c r="AI217" s="518"/>
      <c r="AJ217" s="563"/>
      <c r="AK217" s="53">
        <f>AK233+AK260+AK266+AK228+AK254+AK239+AK277+AK223+AK249+AK244+AK282+AK272</f>
        <v>0</v>
      </c>
      <c r="AL217" s="52"/>
      <c r="AM217" s="53"/>
      <c r="AN217" s="518"/>
      <c r="AO217" s="563"/>
      <c r="AP217" s="53">
        <f>AP233+AP260+AP266+AP228+AP254+AP239+AP277+AP223+AP249+AP244+AP282+AP272</f>
        <v>0</v>
      </c>
      <c r="AQ217" s="52"/>
      <c r="AR217" s="53"/>
      <c r="AS217" s="518"/>
      <c r="AT217" s="563"/>
      <c r="AU217" s="53">
        <f>AU233+AU260+AU266+AU228+AU254+AU239+AU277+AU223+AU249+AU244+AU282+AU272</f>
        <v>0</v>
      </c>
      <c r="AV217" s="52"/>
      <c r="AW217" s="53"/>
      <c r="AX217" s="518"/>
      <c r="AY217" s="563"/>
      <c r="AZ217" s="53">
        <f>AZ233+AZ260+AZ266+AZ228+AZ254+AZ239+AZ277+AZ223+AZ249+AZ244+AZ282+AZ272</f>
        <v>0</v>
      </c>
      <c r="BA217" s="52"/>
      <c r="BB217" s="53"/>
      <c r="BC217" s="518"/>
      <c r="BD217" s="563"/>
      <c r="BE217" s="53">
        <f>BE233+BE260+BE266+BE228+BE254+BE239+BE277+BE223+BE249+BE244+BE282+BE272</f>
        <v>0</v>
      </c>
      <c r="BF217" s="52"/>
      <c r="BG217" s="53"/>
      <c r="BH217" s="518"/>
      <c r="BI217" s="563"/>
      <c r="BJ217" s="53">
        <f>BJ233+BJ260+BJ266+BJ228+BJ254+BJ239+BJ277+BJ223+BJ249+BJ244+BJ282+BJ272</f>
        <v>0</v>
      </c>
      <c r="BK217" s="52"/>
      <c r="BL217" s="53"/>
      <c r="BM217" s="518"/>
      <c r="BN217" s="563"/>
      <c r="BO217" s="53">
        <f>BO233+BO260+BO266+BO228+BO254+BO239+BO277+BO223+BO249+BO244+BO282+BO272</f>
        <v>0</v>
      </c>
      <c r="BP217" s="52"/>
      <c r="BQ217" s="53"/>
      <c r="BR217" s="518"/>
      <c r="BS217" s="563"/>
      <c r="BT217" s="53">
        <f>BT233+BT260+BT266+BT228+BT254+BT239+BT277+BT223+BT249+BT244+BT282+BT272</f>
        <v>0</v>
      </c>
      <c r="BU217" s="52"/>
      <c r="BV217" s="53"/>
      <c r="BW217" s="465"/>
      <c r="BZ217" s="410"/>
      <c r="CA217" s="410"/>
    </row>
    <row r="218" spans="1:79" x14ac:dyDescent="0.2">
      <c r="A218" s="377"/>
      <c r="B218" s="377"/>
      <c r="D218" s="465" t="s">
        <v>388</v>
      </c>
      <c r="E218" s="572"/>
      <c r="F218" s="563"/>
      <c r="G218" s="53">
        <f>G234+G261+G267+G229+G255+G240+G278+G224+G250+G245+G283+G273</f>
        <v>0</v>
      </c>
      <c r="H218" s="52"/>
      <c r="I218" s="53"/>
      <c r="J218" s="518"/>
      <c r="K218" s="563"/>
      <c r="L218" s="53">
        <f>L234+L261+L267+L229+L255+L240+L278+L224+L250+L245+L283+L273</f>
        <v>0</v>
      </c>
      <c r="M218" s="52"/>
      <c r="N218" s="53"/>
      <c r="O218" s="518"/>
      <c r="P218" s="563"/>
      <c r="Q218" s="53">
        <f>Q234+Q261+Q267+Q229+Q255+Q240+Q278+Q224+Q250+Q245+Q283+Q273</f>
        <v>0</v>
      </c>
      <c r="R218" s="52"/>
      <c r="S218" s="53"/>
      <c r="T218" s="518"/>
      <c r="U218" s="563"/>
      <c r="V218" s="53">
        <f>V234+V261+V267+V229+V255+V240+V278+V224+V250+V245+V283+V273</f>
        <v>0</v>
      </c>
      <c r="W218" s="52"/>
      <c r="X218" s="53"/>
      <c r="Y218" s="518"/>
      <c r="Z218" s="563"/>
      <c r="AA218" s="53">
        <f>AA234+AA261+AA267+AA229+AA255+AA240+AA278+AA224+AA250+AA245+AA283+AA273</f>
        <v>0</v>
      </c>
      <c r="AB218" s="52"/>
      <c r="AC218" s="53"/>
      <c r="AD218" s="518"/>
      <c r="AE218" s="563"/>
      <c r="AF218" s="53">
        <f>AF234+AF261+AF267+AF229+AF255+AF240+AF278+AF224+AF250+AF245+AF283+AF273</f>
        <v>0</v>
      </c>
      <c r="AG218" s="52"/>
      <c r="AH218" s="53"/>
      <c r="AI218" s="518"/>
      <c r="AJ218" s="563"/>
      <c r="AK218" s="53">
        <f>AK234+AK261+AK267+AK229+AK255+AK240+AK278+AK224+AK250+AK245+AK283+AK273</f>
        <v>0</v>
      </c>
      <c r="AL218" s="52"/>
      <c r="AM218" s="53"/>
      <c r="AN218" s="518"/>
      <c r="AO218" s="563"/>
      <c r="AP218" s="53">
        <f>AP234+AP261+AP267+AP229+AP255+AP240+AP278+AP224+AP250+AP245+AP283+AP273</f>
        <v>0</v>
      </c>
      <c r="AQ218" s="52"/>
      <c r="AR218" s="53"/>
      <c r="AS218" s="518"/>
      <c r="AT218" s="563"/>
      <c r="AU218" s="53">
        <f>AU234+AU261+AU267+AU229+AU255+AU240+AU278+AU224+AU250+AU245+AU283+AU273</f>
        <v>0</v>
      </c>
      <c r="AV218" s="52"/>
      <c r="AW218" s="53"/>
      <c r="AX218" s="518"/>
      <c r="AY218" s="563"/>
      <c r="AZ218" s="53">
        <f>AZ234+AZ261+AZ267+AZ229+AZ255+AZ240+AZ278+AZ224+AZ250+AZ245+AZ283+AZ273</f>
        <v>0</v>
      </c>
      <c r="BA218" s="52"/>
      <c r="BB218" s="53"/>
      <c r="BC218" s="518"/>
      <c r="BD218" s="563"/>
      <c r="BE218" s="53">
        <f>BE234+BE261+BE267+BE229+BE255+BE240+BE278+BE224+BE250+BE245+BE283+BE273</f>
        <v>0</v>
      </c>
      <c r="BF218" s="52"/>
      <c r="BG218" s="53"/>
      <c r="BH218" s="518"/>
      <c r="BI218" s="563"/>
      <c r="BJ218" s="53">
        <f>BJ234+BJ261+BJ267+BJ229+BJ255+BJ240+BJ278+BJ224+BJ250+BJ245+BJ283+BJ273</f>
        <v>0</v>
      </c>
      <c r="BK218" s="52"/>
      <c r="BL218" s="53"/>
      <c r="BM218" s="518"/>
      <c r="BN218" s="563"/>
      <c r="BO218" s="53">
        <f>BO234+BO261+BO267+BO229+BO255+BO240+BO278+BO224+BO250+BO245+BO283+BO273</f>
        <v>0</v>
      </c>
      <c r="BP218" s="52"/>
      <c r="BQ218" s="53"/>
      <c r="BR218" s="518"/>
      <c r="BS218" s="563"/>
      <c r="BT218" s="53">
        <f>BT234+BT261+BT267+BT229+BT255+BT240+BT278+BT224+BT250+BT245+BT283+BT273</f>
        <v>0</v>
      </c>
      <c r="BU218" s="52"/>
      <c r="BV218" s="53"/>
      <c r="BW218" s="465"/>
      <c r="BZ218" s="410"/>
      <c r="CA218" s="410"/>
    </row>
    <row r="219" spans="1:79" x14ac:dyDescent="0.2">
      <c r="A219" s="377"/>
      <c r="B219" s="377"/>
      <c r="D219" s="465" t="s">
        <v>382</v>
      </c>
      <c r="E219" s="572"/>
      <c r="F219" s="575"/>
      <c r="G219" s="102">
        <f>G235+G262+G268+G256</f>
        <v>0</v>
      </c>
      <c r="H219" s="101"/>
      <c r="I219" s="53"/>
      <c r="J219" s="518"/>
      <c r="K219" s="575"/>
      <c r="L219" s="102">
        <f>L235+L262+L268+L256</f>
        <v>0</v>
      </c>
      <c r="M219" s="101"/>
      <c r="N219" s="53"/>
      <c r="O219" s="518"/>
      <c r="P219" s="575"/>
      <c r="Q219" s="102">
        <f>Q235+Q262+Q268+Q256</f>
        <v>0</v>
      </c>
      <c r="R219" s="101"/>
      <c r="S219" s="53"/>
      <c r="T219" s="518"/>
      <c r="U219" s="575"/>
      <c r="V219" s="102">
        <f>V235+V262+V268+V256</f>
        <v>0</v>
      </c>
      <c r="W219" s="101"/>
      <c r="X219" s="53"/>
      <c r="Y219" s="518"/>
      <c r="Z219" s="575"/>
      <c r="AA219" s="102">
        <f>AA235+AA262+AA268+AA256</f>
        <v>0</v>
      </c>
      <c r="AB219" s="101"/>
      <c r="AC219" s="53"/>
      <c r="AD219" s="518"/>
      <c r="AE219" s="575"/>
      <c r="AF219" s="102">
        <f>AF235+AF262+AF268+AF256</f>
        <v>0</v>
      </c>
      <c r="AG219" s="101"/>
      <c r="AH219" s="53"/>
      <c r="AI219" s="518"/>
      <c r="AJ219" s="575"/>
      <c r="AK219" s="102">
        <f>AK235+AK262+AK268+AK256</f>
        <v>0</v>
      </c>
      <c r="AL219" s="101"/>
      <c r="AM219" s="53"/>
      <c r="AN219" s="518"/>
      <c r="AO219" s="575"/>
      <c r="AP219" s="102">
        <f>AP235+AP262+AP268+AP256</f>
        <v>0</v>
      </c>
      <c r="AQ219" s="101"/>
      <c r="AR219" s="53"/>
      <c r="AS219" s="518"/>
      <c r="AT219" s="575"/>
      <c r="AU219" s="102">
        <f>AU235+AU262+AU268+AU256</f>
        <v>0</v>
      </c>
      <c r="AV219" s="101"/>
      <c r="AW219" s="53"/>
      <c r="AX219" s="518"/>
      <c r="AY219" s="575"/>
      <c r="AZ219" s="102">
        <f>AZ235+AZ262+AZ268+AZ256</f>
        <v>0</v>
      </c>
      <c r="BA219" s="101"/>
      <c r="BB219" s="53"/>
      <c r="BC219" s="518"/>
      <c r="BD219" s="575"/>
      <c r="BE219" s="102">
        <f>BE235+BE262+BE268+BE256</f>
        <v>0</v>
      </c>
      <c r="BF219" s="101"/>
      <c r="BG219" s="53"/>
      <c r="BH219" s="518"/>
      <c r="BI219" s="575"/>
      <c r="BJ219" s="102">
        <f>BJ235+BJ262+BJ268+BJ256</f>
        <v>0</v>
      </c>
      <c r="BK219" s="101"/>
      <c r="BL219" s="53"/>
      <c r="BM219" s="518"/>
      <c r="BN219" s="575"/>
      <c r="BO219" s="102">
        <f>BO235+BO262+BO268+BO256</f>
        <v>0</v>
      </c>
      <c r="BP219" s="101"/>
      <c r="BQ219" s="53"/>
      <c r="BR219" s="518"/>
      <c r="BS219" s="575"/>
      <c r="BT219" s="102">
        <f>BT235+BT262+BT268+BT256</f>
        <v>0</v>
      </c>
      <c r="BU219" s="101"/>
      <c r="BV219" s="53"/>
      <c r="BW219" s="465"/>
      <c r="BZ219" s="410"/>
      <c r="CA219" s="410"/>
    </row>
    <row r="220" spans="1:79" x14ac:dyDescent="0.2">
      <c r="A220" s="377"/>
      <c r="B220" s="377"/>
      <c r="D220" s="465"/>
      <c r="E220" s="572"/>
      <c r="F220" s="259"/>
      <c r="G220" s="53"/>
      <c r="H220" s="53"/>
      <c r="I220" s="53"/>
      <c r="J220" s="518"/>
      <c r="K220" s="259"/>
      <c r="L220" s="53"/>
      <c r="M220" s="53"/>
      <c r="N220" s="53"/>
      <c r="O220" s="518"/>
      <c r="P220" s="259"/>
      <c r="Q220" s="53"/>
      <c r="R220" s="53"/>
      <c r="S220" s="53"/>
      <c r="T220" s="518"/>
      <c r="U220" s="259"/>
      <c r="V220" s="53"/>
      <c r="W220" s="53"/>
      <c r="X220" s="53"/>
      <c r="Y220" s="518"/>
      <c r="Z220" s="259"/>
      <c r="AA220" s="53"/>
      <c r="AB220" s="53"/>
      <c r="AC220" s="53"/>
      <c r="AD220" s="518"/>
      <c r="AE220" s="259"/>
      <c r="AF220" s="53"/>
      <c r="AG220" s="53"/>
      <c r="AH220" s="53"/>
      <c r="AI220" s="518"/>
      <c r="AJ220" s="259"/>
      <c r="AK220" s="53"/>
      <c r="AL220" s="53"/>
      <c r="AM220" s="53"/>
      <c r="AN220" s="518"/>
      <c r="AO220" s="259"/>
      <c r="AP220" s="53"/>
      <c r="AQ220" s="53"/>
      <c r="AR220" s="53"/>
      <c r="AS220" s="518"/>
      <c r="AT220" s="259"/>
      <c r="AU220" s="53"/>
      <c r="AV220" s="53"/>
      <c r="AW220" s="53"/>
      <c r="AX220" s="518"/>
      <c r="AY220" s="259"/>
      <c r="AZ220" s="53"/>
      <c r="BA220" s="53"/>
      <c r="BB220" s="53"/>
      <c r="BC220" s="518"/>
      <c r="BD220" s="259"/>
      <c r="BE220" s="53"/>
      <c r="BF220" s="53"/>
      <c r="BG220" s="53"/>
      <c r="BH220" s="518"/>
      <c r="BI220" s="259"/>
      <c r="BJ220" s="53"/>
      <c r="BK220" s="53"/>
      <c r="BL220" s="53"/>
      <c r="BM220" s="518"/>
      <c r="BN220" s="259"/>
      <c r="BO220" s="53"/>
      <c r="BP220" s="53"/>
      <c r="BQ220" s="53"/>
      <c r="BR220" s="518"/>
      <c r="BS220" s="259"/>
      <c r="BT220" s="53"/>
      <c r="BU220" s="53"/>
      <c r="BV220" s="53"/>
      <c r="BW220" s="465"/>
      <c r="BZ220" s="410"/>
      <c r="CA220" s="410"/>
    </row>
    <row r="221" spans="1:79" hidden="1" x14ac:dyDescent="0.2">
      <c r="A221" s="377"/>
      <c r="B221" s="377"/>
      <c r="D221" s="465" t="s">
        <v>434</v>
      </c>
      <c r="F221" s="377"/>
      <c r="G221" s="53">
        <f>SUM(G222:G224)</f>
        <v>0</v>
      </c>
      <c r="H221" s="53"/>
      <c r="I221" s="53"/>
      <c r="J221" s="518"/>
      <c r="K221" s="53"/>
      <c r="L221" s="53">
        <f>SUM(L222:L224)</f>
        <v>0</v>
      </c>
      <c r="M221" s="53"/>
      <c r="N221" s="53"/>
      <c r="O221" s="518"/>
      <c r="P221" s="53"/>
      <c r="Q221" s="53">
        <f>SUM(Q222:Q224)</f>
        <v>0</v>
      </c>
      <c r="R221" s="53"/>
      <c r="S221" s="53"/>
      <c r="T221" s="518"/>
      <c r="U221" s="53"/>
      <c r="V221" s="53">
        <f>SUM(V222:V224)</f>
        <v>0</v>
      </c>
      <c r="W221" s="53"/>
      <c r="X221" s="53"/>
      <c r="Y221" s="518"/>
      <c r="Z221" s="53"/>
      <c r="AA221" s="53">
        <f>SUM(AA222:AA224)</f>
        <v>0</v>
      </c>
      <c r="AB221" s="53"/>
      <c r="AC221" s="53"/>
      <c r="AD221" s="518"/>
      <c r="AE221" s="53"/>
      <c r="AF221" s="53">
        <f>SUM(AF222:AF224)</f>
        <v>0</v>
      </c>
      <c r="AG221" s="53"/>
      <c r="AH221" s="53"/>
      <c r="AI221" s="518"/>
      <c r="AJ221" s="53"/>
      <c r="AK221" s="53">
        <f>SUM(AK222:AK224)</f>
        <v>0</v>
      </c>
      <c r="AL221" s="53"/>
      <c r="AM221" s="53"/>
      <c r="AN221" s="518"/>
      <c r="AO221" s="53"/>
      <c r="AP221" s="53">
        <f>SUM(AP222:AP224)</f>
        <v>0</v>
      </c>
      <c r="AQ221" s="53"/>
      <c r="AR221" s="53"/>
      <c r="AS221" s="518"/>
      <c r="AT221" s="53"/>
      <c r="AU221" s="53">
        <f>SUM(AU222:AU224)</f>
        <v>0</v>
      </c>
      <c r="AV221" s="53"/>
      <c r="AW221" s="53"/>
      <c r="AX221" s="518"/>
      <c r="AY221" s="53"/>
      <c r="AZ221" s="53">
        <f>SUM(AZ222:AZ224)</f>
        <v>0</v>
      </c>
      <c r="BA221" s="53"/>
      <c r="BB221" s="53"/>
      <c r="BC221" s="518"/>
      <c r="BD221" s="53"/>
      <c r="BE221" s="53">
        <f>SUM(BE222:BE224)</f>
        <v>0</v>
      </c>
      <c r="BF221" s="53"/>
      <c r="BG221" s="53"/>
      <c r="BH221" s="518"/>
      <c r="BI221" s="53"/>
      <c r="BJ221" s="53">
        <f>SUM(BJ222:BJ224)</f>
        <v>0</v>
      </c>
      <c r="BK221" s="53"/>
      <c r="BL221" s="53"/>
      <c r="BM221" s="518"/>
      <c r="BN221" s="53"/>
      <c r="BO221" s="53">
        <f>SUM(BO222:BO224)</f>
        <v>0</v>
      </c>
      <c r="BP221" s="53"/>
      <c r="BQ221" s="53"/>
      <c r="BR221" s="518"/>
      <c r="BS221" s="53"/>
      <c r="BT221" s="53">
        <f>SUM(BT222:BT224)</f>
        <v>0</v>
      </c>
      <c r="BU221" s="53"/>
      <c r="BV221" s="53"/>
      <c r="BW221" s="465"/>
      <c r="BZ221" s="410"/>
      <c r="CA221" s="410"/>
    </row>
    <row r="222" spans="1:79" hidden="1" x14ac:dyDescent="0.2">
      <c r="A222" s="377"/>
      <c r="B222" s="377"/>
      <c r="D222" s="465" t="s">
        <v>378</v>
      </c>
      <c r="F222" s="469"/>
      <c r="G222" s="520">
        <v>0</v>
      </c>
      <c r="H222" s="521"/>
      <c r="I222" s="53"/>
      <c r="J222" s="518"/>
      <c r="K222" s="519"/>
      <c r="L222" s="520">
        <v>0</v>
      </c>
      <c r="M222" s="521"/>
      <c r="N222" s="53"/>
      <c r="O222" s="518"/>
      <c r="P222" s="519"/>
      <c r="Q222" s="520">
        <v>0</v>
      </c>
      <c r="R222" s="521"/>
      <c r="S222" s="53"/>
      <c r="T222" s="518"/>
      <c r="U222" s="519"/>
      <c r="V222" s="520">
        <v>0</v>
      </c>
      <c r="W222" s="521"/>
      <c r="X222" s="53"/>
      <c r="Y222" s="518"/>
      <c r="Z222" s="519"/>
      <c r="AA222" s="520">
        <v>0</v>
      </c>
      <c r="AB222" s="521"/>
      <c r="AC222" s="53"/>
      <c r="AD222" s="518"/>
      <c r="AE222" s="519"/>
      <c r="AF222" s="520">
        <v>0</v>
      </c>
      <c r="AG222" s="521"/>
      <c r="AH222" s="53"/>
      <c r="AI222" s="518"/>
      <c r="AJ222" s="519"/>
      <c r="AK222" s="520">
        <v>0</v>
      </c>
      <c r="AL222" s="521"/>
      <c r="AM222" s="53"/>
      <c r="AN222" s="518"/>
      <c r="AO222" s="519"/>
      <c r="AP222" s="520">
        <v>0</v>
      </c>
      <c r="AQ222" s="521"/>
      <c r="AR222" s="53"/>
      <c r="AS222" s="518"/>
      <c r="AT222" s="519"/>
      <c r="AU222" s="520">
        <v>0</v>
      </c>
      <c r="AV222" s="521"/>
      <c r="AW222" s="53"/>
      <c r="AX222" s="518"/>
      <c r="AY222" s="519"/>
      <c r="AZ222" s="520">
        <v>0</v>
      </c>
      <c r="BA222" s="521"/>
      <c r="BB222" s="53"/>
      <c r="BC222" s="518"/>
      <c r="BD222" s="519"/>
      <c r="BE222" s="520">
        <v>0</v>
      </c>
      <c r="BF222" s="521"/>
      <c r="BG222" s="53"/>
      <c r="BH222" s="518"/>
      <c r="BI222" s="519"/>
      <c r="BJ222" s="520">
        <v>0</v>
      </c>
      <c r="BK222" s="521"/>
      <c r="BL222" s="53"/>
      <c r="BM222" s="518"/>
      <c r="BN222" s="519"/>
      <c r="BO222" s="520">
        <v>0</v>
      </c>
      <c r="BP222" s="521"/>
      <c r="BQ222" s="53"/>
      <c r="BR222" s="518"/>
      <c r="BS222" s="519"/>
      <c r="BT222" s="520">
        <f>SUM(L222:BO222)</f>
        <v>0</v>
      </c>
      <c r="BU222" s="521"/>
      <c r="BV222" s="53"/>
      <c r="BW222" s="465"/>
      <c r="BZ222" s="410"/>
      <c r="CA222" s="410"/>
    </row>
    <row r="223" spans="1:79" hidden="1" x14ac:dyDescent="0.2">
      <c r="A223" s="377"/>
      <c r="B223" s="377"/>
      <c r="D223" s="465" t="s">
        <v>380</v>
      </c>
      <c r="F223" s="417"/>
      <c r="G223" s="53">
        <v>0</v>
      </c>
      <c r="H223" s="52"/>
      <c r="I223" s="53"/>
      <c r="J223" s="518"/>
      <c r="K223" s="518"/>
      <c r="L223" s="53">
        <v>0</v>
      </c>
      <c r="M223" s="52"/>
      <c r="N223" s="53"/>
      <c r="O223" s="518"/>
      <c r="P223" s="518"/>
      <c r="Q223" s="53">
        <v>0</v>
      </c>
      <c r="R223" s="52"/>
      <c r="S223" s="53"/>
      <c r="T223" s="518"/>
      <c r="U223" s="518"/>
      <c r="V223" s="53">
        <v>0</v>
      </c>
      <c r="W223" s="52"/>
      <c r="X223" s="53"/>
      <c r="Y223" s="518"/>
      <c r="Z223" s="518"/>
      <c r="AA223" s="53">
        <v>0</v>
      </c>
      <c r="AB223" s="52"/>
      <c r="AC223" s="53"/>
      <c r="AD223" s="518"/>
      <c r="AE223" s="518"/>
      <c r="AF223" s="53">
        <v>0</v>
      </c>
      <c r="AG223" s="52"/>
      <c r="AH223" s="53"/>
      <c r="AI223" s="518"/>
      <c r="AJ223" s="518"/>
      <c r="AK223" s="53">
        <v>0</v>
      </c>
      <c r="AL223" s="52"/>
      <c r="AM223" s="53"/>
      <c r="AN223" s="518"/>
      <c r="AO223" s="518"/>
      <c r="AP223" s="53">
        <v>0</v>
      </c>
      <c r="AQ223" s="52"/>
      <c r="AR223" s="53"/>
      <c r="AS223" s="518"/>
      <c r="AT223" s="518"/>
      <c r="AU223" s="53">
        <v>0</v>
      </c>
      <c r="AV223" s="52"/>
      <c r="AW223" s="53"/>
      <c r="AX223" s="518"/>
      <c r="AY223" s="518"/>
      <c r="AZ223" s="53">
        <v>0</v>
      </c>
      <c r="BA223" s="52"/>
      <c r="BB223" s="53"/>
      <c r="BC223" s="518"/>
      <c r="BD223" s="518"/>
      <c r="BE223" s="53">
        <v>0</v>
      </c>
      <c r="BF223" s="52"/>
      <c r="BG223" s="53"/>
      <c r="BH223" s="518"/>
      <c r="BI223" s="518"/>
      <c r="BJ223" s="53">
        <v>0</v>
      </c>
      <c r="BK223" s="52"/>
      <c r="BL223" s="53"/>
      <c r="BM223" s="518"/>
      <c r="BN223" s="518"/>
      <c r="BO223" s="53">
        <v>0</v>
      </c>
      <c r="BP223" s="52"/>
      <c r="BQ223" s="53"/>
      <c r="BR223" s="518"/>
      <c r="BS223" s="518"/>
      <c r="BT223" s="53">
        <f>SUM(L223:BO223)</f>
        <v>0</v>
      </c>
      <c r="BU223" s="52"/>
      <c r="BV223" s="53"/>
      <c r="BW223" s="465"/>
      <c r="BZ223" s="410"/>
      <c r="CA223" s="410"/>
    </row>
    <row r="224" spans="1:79" hidden="1" x14ac:dyDescent="0.2">
      <c r="A224" s="377"/>
      <c r="B224" s="377"/>
      <c r="D224" s="465" t="s">
        <v>388</v>
      </c>
      <c r="F224" s="478"/>
      <c r="G224" s="102">
        <v>0</v>
      </c>
      <c r="H224" s="101"/>
      <c r="I224" s="53"/>
      <c r="J224" s="518"/>
      <c r="K224" s="522"/>
      <c r="L224" s="102">
        <v>0</v>
      </c>
      <c r="M224" s="101"/>
      <c r="N224" s="53"/>
      <c r="O224" s="518"/>
      <c r="P224" s="522"/>
      <c r="Q224" s="102">
        <v>0</v>
      </c>
      <c r="R224" s="101"/>
      <c r="S224" s="53"/>
      <c r="T224" s="518"/>
      <c r="U224" s="522"/>
      <c r="V224" s="102">
        <v>0</v>
      </c>
      <c r="W224" s="101"/>
      <c r="X224" s="53"/>
      <c r="Y224" s="518"/>
      <c r="Z224" s="522"/>
      <c r="AA224" s="102">
        <v>0</v>
      </c>
      <c r="AB224" s="101"/>
      <c r="AC224" s="53"/>
      <c r="AD224" s="518"/>
      <c r="AE224" s="522"/>
      <c r="AF224" s="102">
        <v>0</v>
      </c>
      <c r="AG224" s="101"/>
      <c r="AH224" s="53"/>
      <c r="AI224" s="518"/>
      <c r="AJ224" s="522"/>
      <c r="AK224" s="102">
        <v>0</v>
      </c>
      <c r="AL224" s="101"/>
      <c r="AM224" s="53"/>
      <c r="AN224" s="518"/>
      <c r="AO224" s="522"/>
      <c r="AP224" s="102">
        <v>0</v>
      </c>
      <c r="AQ224" s="101"/>
      <c r="AR224" s="53"/>
      <c r="AS224" s="518"/>
      <c r="AT224" s="522"/>
      <c r="AU224" s="102">
        <v>0</v>
      </c>
      <c r="AV224" s="101"/>
      <c r="AW224" s="53"/>
      <c r="AX224" s="518"/>
      <c r="AY224" s="522"/>
      <c r="AZ224" s="102">
        <v>0</v>
      </c>
      <c r="BA224" s="101"/>
      <c r="BB224" s="53"/>
      <c r="BC224" s="518"/>
      <c r="BD224" s="522"/>
      <c r="BE224" s="102">
        <v>0</v>
      </c>
      <c r="BF224" s="101"/>
      <c r="BG224" s="53"/>
      <c r="BH224" s="518"/>
      <c r="BI224" s="522"/>
      <c r="BJ224" s="102">
        <v>0</v>
      </c>
      <c r="BK224" s="101"/>
      <c r="BL224" s="53"/>
      <c r="BM224" s="518"/>
      <c r="BN224" s="522"/>
      <c r="BO224" s="102">
        <v>0</v>
      </c>
      <c r="BP224" s="101"/>
      <c r="BQ224" s="53"/>
      <c r="BR224" s="518"/>
      <c r="BS224" s="522"/>
      <c r="BT224" s="102">
        <f>SUM(L224:BO224)</f>
        <v>0</v>
      </c>
      <c r="BU224" s="101"/>
      <c r="BV224" s="53"/>
      <c r="BW224" s="465"/>
      <c r="BZ224" s="410"/>
      <c r="CA224" s="410"/>
    </row>
    <row r="225" spans="1:79" hidden="1" x14ac:dyDescent="0.2">
      <c r="A225" s="377"/>
      <c r="B225" s="377"/>
      <c r="D225" s="465"/>
      <c r="F225" s="377"/>
      <c r="G225" s="53"/>
      <c r="H225" s="53"/>
      <c r="I225" s="53"/>
      <c r="J225" s="518"/>
      <c r="K225" s="53"/>
      <c r="L225" s="53"/>
      <c r="M225" s="53"/>
      <c r="N225" s="53"/>
      <c r="O225" s="518"/>
      <c r="P225" s="53"/>
      <c r="Q225" s="53"/>
      <c r="R225" s="53"/>
      <c r="S225" s="53"/>
      <c r="T225" s="518"/>
      <c r="U225" s="53"/>
      <c r="V225" s="53"/>
      <c r="W225" s="53"/>
      <c r="X225" s="53"/>
      <c r="Y225" s="518"/>
      <c r="Z225" s="53"/>
      <c r="AA225" s="53"/>
      <c r="AB225" s="53"/>
      <c r="AC225" s="53"/>
      <c r="AD225" s="518"/>
      <c r="AE225" s="53"/>
      <c r="AF225" s="53"/>
      <c r="AG225" s="53"/>
      <c r="AH225" s="53"/>
      <c r="AI225" s="518"/>
      <c r="AJ225" s="53"/>
      <c r="AK225" s="53"/>
      <c r="AL225" s="53"/>
      <c r="AM225" s="53"/>
      <c r="AN225" s="518"/>
      <c r="AO225" s="53"/>
      <c r="AP225" s="53"/>
      <c r="AQ225" s="53"/>
      <c r="AR225" s="53"/>
      <c r="AS225" s="518"/>
      <c r="AT225" s="53"/>
      <c r="AU225" s="53"/>
      <c r="AV225" s="53"/>
      <c r="AW225" s="53"/>
      <c r="AX225" s="518"/>
      <c r="AY225" s="53"/>
      <c r="AZ225" s="53"/>
      <c r="BA225" s="53"/>
      <c r="BB225" s="53"/>
      <c r="BC225" s="518"/>
      <c r="BD225" s="53"/>
      <c r="BE225" s="53"/>
      <c r="BF225" s="53"/>
      <c r="BG225" s="53"/>
      <c r="BH225" s="518"/>
      <c r="BI225" s="53"/>
      <c r="BJ225" s="53"/>
      <c r="BK225" s="53"/>
      <c r="BL225" s="53"/>
      <c r="BM225" s="518"/>
      <c r="BN225" s="53"/>
      <c r="BO225" s="53"/>
      <c r="BP225" s="53"/>
      <c r="BQ225" s="53"/>
      <c r="BR225" s="518"/>
      <c r="BS225" s="53"/>
      <c r="BT225" s="53"/>
      <c r="BU225" s="53"/>
      <c r="BV225" s="53"/>
      <c r="BW225" s="465"/>
      <c r="BZ225" s="410"/>
      <c r="CA225" s="410"/>
    </row>
    <row r="226" spans="1:79" hidden="1" x14ac:dyDescent="0.2">
      <c r="A226" s="377"/>
      <c r="B226" s="377"/>
      <c r="D226" s="465" t="s">
        <v>389</v>
      </c>
      <c r="F226" s="377"/>
      <c r="G226" s="53">
        <f>SUM(G227:G229)</f>
        <v>0</v>
      </c>
      <c r="H226" s="53"/>
      <c r="I226" s="53"/>
      <c r="J226" s="518"/>
      <c r="K226" s="53"/>
      <c r="L226" s="53">
        <f>SUM(L227:L229)</f>
        <v>0</v>
      </c>
      <c r="M226" s="53"/>
      <c r="N226" s="53"/>
      <c r="O226" s="518"/>
      <c r="P226" s="53"/>
      <c r="Q226" s="53">
        <f>SUM(Q227:Q229)</f>
        <v>0</v>
      </c>
      <c r="R226" s="53"/>
      <c r="S226" s="53"/>
      <c r="T226" s="518"/>
      <c r="U226" s="53"/>
      <c r="V226" s="53">
        <f>SUM(V227:V229)</f>
        <v>0</v>
      </c>
      <c r="W226" s="53"/>
      <c r="X226" s="53"/>
      <c r="Y226" s="518"/>
      <c r="Z226" s="53"/>
      <c r="AA226" s="53">
        <f>SUM(AA227:AA229)</f>
        <v>0</v>
      </c>
      <c r="AB226" s="53"/>
      <c r="AC226" s="53"/>
      <c r="AD226" s="518"/>
      <c r="AE226" s="53"/>
      <c r="AF226" s="53">
        <f>SUM(AF227:AF229)</f>
        <v>0</v>
      </c>
      <c r="AG226" s="53"/>
      <c r="AH226" s="53"/>
      <c r="AI226" s="518"/>
      <c r="AJ226" s="53"/>
      <c r="AK226" s="53">
        <f>SUM(AK227:AK229)</f>
        <v>0</v>
      </c>
      <c r="AL226" s="53"/>
      <c r="AM226" s="53"/>
      <c r="AN226" s="518"/>
      <c r="AO226" s="53"/>
      <c r="AP226" s="53">
        <f>SUM(AP227:AP229)</f>
        <v>0</v>
      </c>
      <c r="AQ226" s="53"/>
      <c r="AR226" s="53"/>
      <c r="AS226" s="518"/>
      <c r="AT226" s="53"/>
      <c r="AU226" s="53">
        <f>SUM(AU227:AU229)</f>
        <v>0</v>
      </c>
      <c r="AV226" s="53"/>
      <c r="AW226" s="53"/>
      <c r="AX226" s="518"/>
      <c r="AY226" s="53"/>
      <c r="AZ226" s="53">
        <f>SUM(AZ227:AZ229)</f>
        <v>0</v>
      </c>
      <c r="BA226" s="53"/>
      <c r="BB226" s="53"/>
      <c r="BC226" s="518"/>
      <c r="BD226" s="53"/>
      <c r="BE226" s="53">
        <f>SUM(BE227:BE229)</f>
        <v>0</v>
      </c>
      <c r="BF226" s="53"/>
      <c r="BG226" s="53"/>
      <c r="BH226" s="518"/>
      <c r="BI226" s="53"/>
      <c r="BJ226" s="53">
        <f>SUM(BJ227:BJ229)</f>
        <v>0</v>
      </c>
      <c r="BK226" s="53"/>
      <c r="BL226" s="53"/>
      <c r="BM226" s="518"/>
      <c r="BN226" s="53"/>
      <c r="BO226" s="53">
        <f>SUM(BO227:BO229)</f>
        <v>0</v>
      </c>
      <c r="BP226" s="53"/>
      <c r="BQ226" s="53"/>
      <c r="BR226" s="518"/>
      <c r="BS226" s="53"/>
      <c r="BT226" s="53">
        <f>SUM(BT227:BT229)</f>
        <v>0</v>
      </c>
      <c r="BU226" s="53"/>
      <c r="BV226" s="53"/>
      <c r="BW226" s="465"/>
      <c r="BZ226" s="410"/>
      <c r="CA226" s="410"/>
    </row>
    <row r="227" spans="1:79" hidden="1" x14ac:dyDescent="0.2">
      <c r="A227" s="377"/>
      <c r="B227" s="377"/>
      <c r="D227" s="465" t="s">
        <v>378</v>
      </c>
      <c r="F227" s="469"/>
      <c r="G227" s="520">
        <v>0</v>
      </c>
      <c r="H227" s="521"/>
      <c r="I227" s="53"/>
      <c r="J227" s="518"/>
      <c r="K227" s="519"/>
      <c r="L227" s="520">
        <v>0</v>
      </c>
      <c r="M227" s="521"/>
      <c r="N227" s="53"/>
      <c r="O227" s="518"/>
      <c r="P227" s="519"/>
      <c r="Q227" s="520">
        <v>0</v>
      </c>
      <c r="R227" s="521"/>
      <c r="S227" s="53"/>
      <c r="T227" s="518"/>
      <c r="U227" s="519"/>
      <c r="V227" s="520">
        <v>0</v>
      </c>
      <c r="W227" s="521"/>
      <c r="X227" s="53"/>
      <c r="Y227" s="518"/>
      <c r="Z227" s="519"/>
      <c r="AA227" s="520">
        <v>0</v>
      </c>
      <c r="AB227" s="521"/>
      <c r="AC227" s="53"/>
      <c r="AD227" s="518"/>
      <c r="AE227" s="519"/>
      <c r="AF227" s="520">
        <v>0</v>
      </c>
      <c r="AG227" s="521"/>
      <c r="AH227" s="53"/>
      <c r="AI227" s="518"/>
      <c r="AJ227" s="519"/>
      <c r="AK227" s="520">
        <v>0</v>
      </c>
      <c r="AL227" s="521"/>
      <c r="AM227" s="53"/>
      <c r="AN227" s="518"/>
      <c r="AO227" s="519"/>
      <c r="AP227" s="520">
        <v>0</v>
      </c>
      <c r="AQ227" s="521"/>
      <c r="AR227" s="53"/>
      <c r="AS227" s="518"/>
      <c r="AT227" s="519"/>
      <c r="AU227" s="520">
        <v>0</v>
      </c>
      <c r="AV227" s="521"/>
      <c r="AW227" s="53"/>
      <c r="AX227" s="518"/>
      <c r="AY227" s="519"/>
      <c r="AZ227" s="520">
        <v>0</v>
      </c>
      <c r="BA227" s="521"/>
      <c r="BB227" s="53"/>
      <c r="BC227" s="518"/>
      <c r="BD227" s="519"/>
      <c r="BE227" s="520">
        <v>0</v>
      </c>
      <c r="BF227" s="521"/>
      <c r="BG227" s="53"/>
      <c r="BH227" s="518"/>
      <c r="BI227" s="519"/>
      <c r="BJ227" s="520">
        <v>0</v>
      </c>
      <c r="BK227" s="521"/>
      <c r="BL227" s="53"/>
      <c r="BM227" s="518"/>
      <c r="BN227" s="519"/>
      <c r="BO227" s="520">
        <v>0</v>
      </c>
      <c r="BP227" s="521"/>
      <c r="BQ227" s="53"/>
      <c r="BR227" s="518"/>
      <c r="BS227" s="519"/>
      <c r="BT227" s="520">
        <f>SUM(L227:BO227)</f>
        <v>0</v>
      </c>
      <c r="BU227" s="521"/>
      <c r="BV227" s="53"/>
      <c r="BW227" s="465"/>
      <c r="BZ227" s="410"/>
      <c r="CA227" s="410"/>
    </row>
    <row r="228" spans="1:79" hidden="1" x14ac:dyDescent="0.2">
      <c r="A228" s="377"/>
      <c r="B228" s="377"/>
      <c r="D228" s="465" t="s">
        <v>380</v>
      </c>
      <c r="F228" s="417"/>
      <c r="G228" s="53">
        <v>0</v>
      </c>
      <c r="H228" s="52"/>
      <c r="I228" s="53"/>
      <c r="J228" s="518"/>
      <c r="K228" s="518"/>
      <c r="L228" s="53">
        <v>0</v>
      </c>
      <c r="M228" s="52"/>
      <c r="N228" s="53"/>
      <c r="O228" s="518"/>
      <c r="P228" s="518"/>
      <c r="Q228" s="53">
        <v>0</v>
      </c>
      <c r="R228" s="52"/>
      <c r="S228" s="53"/>
      <c r="T228" s="518"/>
      <c r="U228" s="518"/>
      <c r="V228" s="53">
        <v>0</v>
      </c>
      <c r="W228" s="52"/>
      <c r="X228" s="53"/>
      <c r="Y228" s="518"/>
      <c r="Z228" s="518"/>
      <c r="AA228" s="53">
        <v>0</v>
      </c>
      <c r="AB228" s="52"/>
      <c r="AC228" s="53"/>
      <c r="AD228" s="518"/>
      <c r="AE228" s="518"/>
      <c r="AF228" s="53">
        <v>0</v>
      </c>
      <c r="AG228" s="52"/>
      <c r="AH228" s="53"/>
      <c r="AI228" s="518"/>
      <c r="AJ228" s="518"/>
      <c r="AK228" s="53">
        <v>0</v>
      </c>
      <c r="AL228" s="52"/>
      <c r="AM228" s="53"/>
      <c r="AN228" s="518"/>
      <c r="AO228" s="518"/>
      <c r="AP228" s="53">
        <v>0</v>
      </c>
      <c r="AQ228" s="52"/>
      <c r="AR228" s="53"/>
      <c r="AS228" s="518"/>
      <c r="AT228" s="518"/>
      <c r="AU228" s="53">
        <v>0</v>
      </c>
      <c r="AV228" s="52"/>
      <c r="AW228" s="53"/>
      <c r="AX228" s="518"/>
      <c r="AY228" s="518"/>
      <c r="AZ228" s="53">
        <v>0</v>
      </c>
      <c r="BA228" s="52"/>
      <c r="BB228" s="53"/>
      <c r="BC228" s="518"/>
      <c r="BD228" s="518"/>
      <c r="BE228" s="53">
        <v>0</v>
      </c>
      <c r="BF228" s="52"/>
      <c r="BG228" s="53"/>
      <c r="BH228" s="518"/>
      <c r="BI228" s="518"/>
      <c r="BJ228" s="53">
        <v>0</v>
      </c>
      <c r="BK228" s="52"/>
      <c r="BL228" s="53"/>
      <c r="BM228" s="518"/>
      <c r="BN228" s="518"/>
      <c r="BO228" s="53">
        <v>0</v>
      </c>
      <c r="BP228" s="52"/>
      <c r="BQ228" s="53"/>
      <c r="BR228" s="518"/>
      <c r="BS228" s="518"/>
      <c r="BT228" s="53">
        <f>SUM(L228:BO228)</f>
        <v>0</v>
      </c>
      <c r="BU228" s="52"/>
      <c r="BV228" s="53"/>
      <c r="BW228" s="465"/>
      <c r="BZ228" s="410"/>
      <c r="CA228" s="410"/>
    </row>
    <row r="229" spans="1:79" hidden="1" x14ac:dyDescent="0.2">
      <c r="A229" s="377"/>
      <c r="B229" s="377"/>
      <c r="D229" s="465" t="s">
        <v>388</v>
      </c>
      <c r="F229" s="478"/>
      <c r="G229" s="102">
        <v>0</v>
      </c>
      <c r="H229" s="101"/>
      <c r="I229" s="53"/>
      <c r="J229" s="518"/>
      <c r="K229" s="522"/>
      <c r="L229" s="102">
        <v>0</v>
      </c>
      <c r="M229" s="101"/>
      <c r="N229" s="53"/>
      <c r="O229" s="518"/>
      <c r="P229" s="522"/>
      <c r="Q229" s="102">
        <v>0</v>
      </c>
      <c r="R229" s="101"/>
      <c r="S229" s="53"/>
      <c r="T229" s="518"/>
      <c r="U229" s="522"/>
      <c r="V229" s="102">
        <v>0</v>
      </c>
      <c r="W229" s="101"/>
      <c r="X229" s="53"/>
      <c r="Y229" s="518"/>
      <c r="Z229" s="522"/>
      <c r="AA229" s="102">
        <v>0</v>
      </c>
      <c r="AB229" s="101"/>
      <c r="AC229" s="53"/>
      <c r="AD229" s="518"/>
      <c r="AE229" s="522"/>
      <c r="AF229" s="102">
        <v>0</v>
      </c>
      <c r="AG229" s="101"/>
      <c r="AH229" s="53"/>
      <c r="AI229" s="518"/>
      <c r="AJ229" s="522"/>
      <c r="AK229" s="102">
        <v>0</v>
      </c>
      <c r="AL229" s="101"/>
      <c r="AM229" s="53"/>
      <c r="AN229" s="518"/>
      <c r="AO229" s="522"/>
      <c r="AP229" s="102">
        <v>0</v>
      </c>
      <c r="AQ229" s="101"/>
      <c r="AR229" s="53"/>
      <c r="AS229" s="518"/>
      <c r="AT229" s="522"/>
      <c r="AU229" s="102">
        <v>0</v>
      </c>
      <c r="AV229" s="101"/>
      <c r="AW229" s="53"/>
      <c r="AX229" s="518"/>
      <c r="AY229" s="522"/>
      <c r="AZ229" s="102">
        <v>0</v>
      </c>
      <c r="BA229" s="101"/>
      <c r="BB229" s="53"/>
      <c r="BC229" s="518"/>
      <c r="BD229" s="522"/>
      <c r="BE229" s="102">
        <v>0</v>
      </c>
      <c r="BF229" s="101"/>
      <c r="BG229" s="53"/>
      <c r="BH229" s="518"/>
      <c r="BI229" s="522"/>
      <c r="BJ229" s="102">
        <v>0</v>
      </c>
      <c r="BK229" s="101"/>
      <c r="BL229" s="53"/>
      <c r="BM229" s="518"/>
      <c r="BN229" s="522"/>
      <c r="BO229" s="102">
        <v>0</v>
      </c>
      <c r="BP229" s="101"/>
      <c r="BQ229" s="53"/>
      <c r="BR229" s="518"/>
      <c r="BS229" s="522"/>
      <c r="BT229" s="102">
        <f>SUM(L229:BO229)</f>
        <v>0</v>
      </c>
      <c r="BU229" s="101"/>
      <c r="BV229" s="53"/>
      <c r="BW229" s="465"/>
      <c r="BZ229" s="410"/>
      <c r="CA229" s="410"/>
    </row>
    <row r="230" spans="1:79" ht="12.75" hidden="1" customHeight="1" x14ac:dyDescent="0.2">
      <c r="A230" s="377"/>
      <c r="B230" s="377"/>
      <c r="D230" s="465"/>
      <c r="E230" s="572"/>
      <c r="F230" s="259"/>
      <c r="G230" s="53"/>
      <c r="H230" s="53"/>
      <c r="I230" s="53"/>
      <c r="J230" s="518"/>
      <c r="K230" s="259"/>
      <c r="L230" s="53"/>
      <c r="M230" s="53"/>
      <c r="N230" s="53"/>
      <c r="O230" s="518"/>
      <c r="P230" s="259"/>
      <c r="Q230" s="53"/>
      <c r="R230" s="53"/>
      <c r="S230" s="53"/>
      <c r="T230" s="518"/>
      <c r="U230" s="259"/>
      <c r="V230" s="53"/>
      <c r="W230" s="53"/>
      <c r="X230" s="53"/>
      <c r="Y230" s="518"/>
      <c r="Z230" s="259"/>
      <c r="AA230" s="53"/>
      <c r="AB230" s="53"/>
      <c r="AC230" s="53"/>
      <c r="AD230" s="518"/>
      <c r="AE230" s="259"/>
      <c r="AF230" s="53"/>
      <c r="AG230" s="53"/>
      <c r="AH230" s="53"/>
      <c r="AI230" s="518"/>
      <c r="AJ230" s="259"/>
      <c r="AK230" s="53"/>
      <c r="AL230" s="53"/>
      <c r="AM230" s="53"/>
      <c r="AN230" s="518"/>
      <c r="AO230" s="259"/>
      <c r="AP230" s="53"/>
      <c r="AQ230" s="53"/>
      <c r="AR230" s="53"/>
      <c r="AS230" s="518"/>
      <c r="AT230" s="259"/>
      <c r="AU230" s="53"/>
      <c r="AV230" s="53"/>
      <c r="AW230" s="53"/>
      <c r="AX230" s="518"/>
      <c r="AY230" s="259"/>
      <c r="AZ230" s="53"/>
      <c r="BA230" s="53"/>
      <c r="BB230" s="53"/>
      <c r="BC230" s="518"/>
      <c r="BD230" s="259"/>
      <c r="BE230" s="53"/>
      <c r="BF230" s="53"/>
      <c r="BG230" s="53"/>
      <c r="BH230" s="518"/>
      <c r="BI230" s="259"/>
      <c r="BJ230" s="53"/>
      <c r="BK230" s="53"/>
      <c r="BL230" s="53"/>
      <c r="BM230" s="518"/>
      <c r="BN230" s="259"/>
      <c r="BO230" s="53"/>
      <c r="BP230" s="53"/>
      <c r="BQ230" s="53"/>
      <c r="BR230" s="518"/>
      <c r="BS230" s="259"/>
      <c r="BT230" s="53"/>
      <c r="BU230" s="53"/>
      <c r="BV230" s="53"/>
      <c r="BW230" s="465"/>
      <c r="BZ230" s="410"/>
      <c r="CA230" s="410"/>
    </row>
    <row r="231" spans="1:79" ht="12.75" hidden="1" customHeight="1" x14ac:dyDescent="0.2">
      <c r="A231" s="377"/>
      <c r="B231" s="377"/>
      <c r="D231" s="465" t="str">
        <f>D120</f>
        <v xml:space="preserve">  R2040 (9.00%  2040/09/11)</v>
      </c>
      <c r="E231" s="572"/>
      <c r="F231" s="259"/>
      <c r="G231" s="53">
        <v>0</v>
      </c>
      <c r="H231" s="53"/>
      <c r="I231" s="53"/>
      <c r="J231" s="518"/>
      <c r="K231" s="53"/>
      <c r="L231" s="53">
        <v>0</v>
      </c>
      <c r="M231" s="53"/>
      <c r="N231" s="53"/>
      <c r="O231" s="518"/>
      <c r="P231" s="259"/>
      <c r="Q231" s="53">
        <f>SUM(Q232:Q234)</f>
        <v>0</v>
      </c>
      <c r="R231" s="53"/>
      <c r="S231" s="53"/>
      <c r="T231" s="518"/>
      <c r="U231" s="259"/>
      <c r="V231" s="53">
        <v>0</v>
      </c>
      <c r="W231" s="53"/>
      <c r="X231" s="53"/>
      <c r="Y231" s="518"/>
      <c r="Z231" s="259"/>
      <c r="AA231" s="53">
        <v>0</v>
      </c>
      <c r="AB231" s="53"/>
      <c r="AC231" s="53"/>
      <c r="AD231" s="518"/>
      <c r="AE231" s="259"/>
      <c r="AF231" s="53">
        <f>SUM(AF232:AF234)</f>
        <v>0</v>
      </c>
      <c r="AG231" s="53"/>
      <c r="AH231" s="53"/>
      <c r="AI231" s="518"/>
      <c r="AJ231" s="259"/>
      <c r="AK231" s="53">
        <f>SUM(AK232:AK234)</f>
        <v>0</v>
      </c>
      <c r="AL231" s="53"/>
      <c r="AM231" s="53"/>
      <c r="AN231" s="518"/>
      <c r="AO231" s="259"/>
      <c r="AP231" s="53">
        <v>0</v>
      </c>
      <c r="AQ231" s="53"/>
      <c r="AR231" s="53"/>
      <c r="AS231" s="518"/>
      <c r="AT231" s="259"/>
      <c r="AU231" s="53">
        <f>SUM(AU232:AU235)</f>
        <v>0</v>
      </c>
      <c r="AV231" s="53"/>
      <c r="AW231" s="53"/>
      <c r="AX231" s="518"/>
      <c r="AY231" s="259"/>
      <c r="AZ231" s="53">
        <f>SUM(AZ232:AZ234)</f>
        <v>0</v>
      </c>
      <c r="BA231" s="53"/>
      <c r="BB231" s="53"/>
      <c r="BC231" s="518"/>
      <c r="BD231" s="259"/>
      <c r="BE231" s="53">
        <v>0</v>
      </c>
      <c r="BF231" s="53"/>
      <c r="BG231" s="53"/>
      <c r="BH231" s="518"/>
      <c r="BI231" s="259"/>
      <c r="BJ231" s="53">
        <f>SUM(BJ232:BJ234)</f>
        <v>0</v>
      </c>
      <c r="BK231" s="53"/>
      <c r="BL231" s="53"/>
      <c r="BM231" s="518"/>
      <c r="BN231" s="259"/>
      <c r="BO231" s="53">
        <v>0</v>
      </c>
      <c r="BP231" s="53"/>
      <c r="BQ231" s="53"/>
      <c r="BR231" s="518"/>
      <c r="BS231" s="259"/>
      <c r="BT231" s="53">
        <f>SUM(BT232:BT235)</f>
        <v>0</v>
      </c>
      <c r="BU231" s="53"/>
      <c r="BV231" s="53"/>
      <c r="BW231" s="465"/>
      <c r="BZ231" s="410"/>
      <c r="CA231" s="410"/>
    </row>
    <row r="232" spans="1:79" ht="12.75" hidden="1" customHeight="1" x14ac:dyDescent="0.2">
      <c r="A232" s="377"/>
      <c r="B232" s="377"/>
      <c r="D232" s="465" t="s">
        <v>378</v>
      </c>
      <c r="E232" s="572"/>
      <c r="F232" s="469"/>
      <c r="G232" s="520">
        <v>0</v>
      </c>
      <c r="H232" s="521"/>
      <c r="I232" s="53"/>
      <c r="J232" s="518"/>
      <c r="K232" s="519"/>
      <c r="L232" s="520">
        <v>0</v>
      </c>
      <c r="M232" s="521"/>
      <c r="N232" s="53"/>
      <c r="O232" s="518"/>
      <c r="P232" s="519"/>
      <c r="Q232" s="520">
        <v>0</v>
      </c>
      <c r="R232" s="521"/>
      <c r="S232" s="53"/>
      <c r="T232" s="518"/>
      <c r="U232" s="573"/>
      <c r="V232" s="520">
        <v>0</v>
      </c>
      <c r="W232" s="521"/>
      <c r="X232" s="53"/>
      <c r="Y232" s="518"/>
      <c r="Z232" s="573"/>
      <c r="AA232" s="520">
        <v>0</v>
      </c>
      <c r="AB232" s="521"/>
      <c r="AC232" s="53"/>
      <c r="AD232" s="518"/>
      <c r="AE232" s="573"/>
      <c r="AF232" s="520">
        <v>0</v>
      </c>
      <c r="AG232" s="521"/>
      <c r="AH232" s="53"/>
      <c r="AI232" s="518"/>
      <c r="AJ232" s="573"/>
      <c r="AK232" s="520">
        <v>0</v>
      </c>
      <c r="AL232" s="521"/>
      <c r="AM232" s="53"/>
      <c r="AN232" s="518"/>
      <c r="AO232" s="573"/>
      <c r="AP232" s="520">
        <v>0</v>
      </c>
      <c r="AQ232" s="521"/>
      <c r="AR232" s="53"/>
      <c r="AS232" s="518"/>
      <c r="AT232" s="469"/>
      <c r="AU232" s="520">
        <v>0</v>
      </c>
      <c r="AV232" s="521"/>
      <c r="AW232" s="53"/>
      <c r="AX232" s="518"/>
      <c r="AY232" s="469"/>
      <c r="AZ232" s="520">
        <v>0</v>
      </c>
      <c r="BA232" s="521"/>
      <c r="BB232" s="53"/>
      <c r="BC232" s="518"/>
      <c r="BD232" s="469"/>
      <c r="BE232" s="520">
        <v>0</v>
      </c>
      <c r="BF232" s="521"/>
      <c r="BG232" s="53"/>
      <c r="BH232" s="518"/>
      <c r="BI232" s="469"/>
      <c r="BJ232" s="520">
        <v>0</v>
      </c>
      <c r="BK232" s="521"/>
      <c r="BL232" s="53"/>
      <c r="BM232" s="518"/>
      <c r="BN232" s="469"/>
      <c r="BO232" s="520">
        <v>0</v>
      </c>
      <c r="BP232" s="521"/>
      <c r="BQ232" s="53"/>
      <c r="BR232" s="518"/>
      <c r="BS232" s="469"/>
      <c r="BT232" s="520">
        <f>SUM(L232:BO232)</f>
        <v>0</v>
      </c>
      <c r="BU232" s="521"/>
      <c r="BV232" s="53"/>
      <c r="BW232" s="465"/>
      <c r="BZ232" s="410"/>
      <c r="CA232" s="410"/>
    </row>
    <row r="233" spans="1:79" ht="12.75" hidden="1" customHeight="1" x14ac:dyDescent="0.2">
      <c r="A233" s="377"/>
      <c r="B233" s="377"/>
      <c r="D233" s="465" t="s">
        <v>380</v>
      </c>
      <c r="E233" s="572"/>
      <c r="F233" s="417"/>
      <c r="G233" s="53">
        <v>0</v>
      </c>
      <c r="H233" s="52"/>
      <c r="I233" s="53"/>
      <c r="J233" s="518"/>
      <c r="K233" s="518"/>
      <c r="L233" s="53">
        <v>0</v>
      </c>
      <c r="M233" s="52"/>
      <c r="N233" s="53"/>
      <c r="O233" s="518"/>
      <c r="P233" s="518"/>
      <c r="Q233" s="53">
        <v>0</v>
      </c>
      <c r="R233" s="52"/>
      <c r="S233" s="53"/>
      <c r="T233" s="518"/>
      <c r="U233" s="563"/>
      <c r="V233" s="53">
        <v>0</v>
      </c>
      <c r="W233" s="52"/>
      <c r="X233" s="53"/>
      <c r="Y233" s="518"/>
      <c r="Z233" s="563"/>
      <c r="AA233" s="53">
        <v>0</v>
      </c>
      <c r="AB233" s="52"/>
      <c r="AC233" s="53"/>
      <c r="AD233" s="518"/>
      <c r="AE233" s="563"/>
      <c r="AF233" s="53">
        <v>0</v>
      </c>
      <c r="AG233" s="52"/>
      <c r="AH233" s="53"/>
      <c r="AI233" s="518"/>
      <c r="AJ233" s="563"/>
      <c r="AK233" s="53">
        <v>0</v>
      </c>
      <c r="AL233" s="52"/>
      <c r="AM233" s="53"/>
      <c r="AN233" s="518"/>
      <c r="AO233" s="563"/>
      <c r="AP233" s="53">
        <v>0</v>
      </c>
      <c r="AQ233" s="52"/>
      <c r="AR233" s="53"/>
      <c r="AS233" s="518"/>
      <c r="AT233" s="417"/>
      <c r="AU233" s="53">
        <v>0</v>
      </c>
      <c r="AV233" s="52"/>
      <c r="AW233" s="53"/>
      <c r="AX233" s="518"/>
      <c r="AY233" s="417"/>
      <c r="AZ233" s="53">
        <v>0</v>
      </c>
      <c r="BA233" s="52"/>
      <c r="BB233" s="53"/>
      <c r="BC233" s="518"/>
      <c r="BD233" s="417"/>
      <c r="BE233" s="53">
        <v>0</v>
      </c>
      <c r="BF233" s="52"/>
      <c r="BG233" s="53"/>
      <c r="BH233" s="518"/>
      <c r="BI233" s="417"/>
      <c r="BJ233" s="53">
        <v>0</v>
      </c>
      <c r="BK233" s="52"/>
      <c r="BL233" s="53"/>
      <c r="BM233" s="518"/>
      <c r="BN233" s="417"/>
      <c r="BO233" s="53">
        <v>0</v>
      </c>
      <c r="BP233" s="52"/>
      <c r="BQ233" s="53"/>
      <c r="BR233" s="518"/>
      <c r="BS233" s="417"/>
      <c r="BT233" s="53">
        <f>SUM(L233:BO233)</f>
        <v>0</v>
      </c>
      <c r="BU233" s="52"/>
      <c r="BV233" s="53"/>
      <c r="BW233" s="465"/>
      <c r="BZ233" s="410"/>
      <c r="CA233" s="410"/>
    </row>
    <row r="234" spans="1:79" ht="12.75" hidden="1" customHeight="1" x14ac:dyDescent="0.2">
      <c r="A234" s="377"/>
      <c r="B234" s="377"/>
      <c r="D234" s="465" t="s">
        <v>388</v>
      </c>
      <c r="E234" s="572"/>
      <c r="F234" s="478"/>
      <c r="G234" s="102">
        <v>0</v>
      </c>
      <c r="H234" s="101"/>
      <c r="I234" s="53"/>
      <c r="J234" s="518"/>
      <c r="K234" s="522"/>
      <c r="L234" s="102">
        <v>0</v>
      </c>
      <c r="M234" s="101"/>
      <c r="N234" s="53"/>
      <c r="O234" s="518"/>
      <c r="P234" s="522"/>
      <c r="Q234" s="102">
        <v>0</v>
      </c>
      <c r="R234" s="101"/>
      <c r="S234" s="53"/>
      <c r="T234" s="518"/>
      <c r="U234" s="478"/>
      <c r="V234" s="102">
        <v>0</v>
      </c>
      <c r="W234" s="101"/>
      <c r="X234" s="53"/>
      <c r="Y234" s="518"/>
      <c r="Z234" s="478"/>
      <c r="AA234" s="102">
        <v>0</v>
      </c>
      <c r="AB234" s="101"/>
      <c r="AC234" s="53"/>
      <c r="AD234" s="518"/>
      <c r="AE234" s="478"/>
      <c r="AF234" s="102">
        <v>0</v>
      </c>
      <c r="AG234" s="101"/>
      <c r="AH234" s="53"/>
      <c r="AI234" s="518"/>
      <c r="AJ234" s="478"/>
      <c r="AK234" s="102">
        <v>0</v>
      </c>
      <c r="AL234" s="101"/>
      <c r="AM234" s="53"/>
      <c r="AN234" s="518"/>
      <c r="AO234" s="478"/>
      <c r="AP234" s="102">
        <v>0</v>
      </c>
      <c r="AQ234" s="101"/>
      <c r="AR234" s="53"/>
      <c r="AS234" s="518"/>
      <c r="AT234" s="478"/>
      <c r="AU234" s="102">
        <v>0</v>
      </c>
      <c r="AV234" s="101"/>
      <c r="AW234" s="53"/>
      <c r="AX234" s="518"/>
      <c r="AY234" s="478"/>
      <c r="AZ234" s="102">
        <v>0</v>
      </c>
      <c r="BA234" s="101"/>
      <c r="BB234" s="53"/>
      <c r="BC234" s="518"/>
      <c r="BD234" s="478"/>
      <c r="BE234" s="102">
        <v>0</v>
      </c>
      <c r="BF234" s="101"/>
      <c r="BG234" s="53"/>
      <c r="BH234" s="518"/>
      <c r="BI234" s="478"/>
      <c r="BJ234" s="102">
        <v>0</v>
      </c>
      <c r="BK234" s="101"/>
      <c r="BL234" s="53"/>
      <c r="BM234" s="518"/>
      <c r="BN234" s="478"/>
      <c r="BO234" s="102">
        <v>0</v>
      </c>
      <c r="BP234" s="101"/>
      <c r="BQ234" s="53"/>
      <c r="BR234" s="518"/>
      <c r="BS234" s="478"/>
      <c r="BT234" s="102">
        <f>SUM(L234:BO234)</f>
        <v>0</v>
      </c>
      <c r="BU234" s="101"/>
      <c r="BV234" s="53"/>
      <c r="BW234" s="465"/>
      <c r="BZ234" s="410"/>
      <c r="CA234" s="410"/>
    </row>
    <row r="235" spans="1:79" ht="12.75" hidden="1" customHeight="1" x14ac:dyDescent="0.2">
      <c r="A235" s="377"/>
      <c r="B235" s="377"/>
      <c r="D235" s="465" t="s">
        <v>382</v>
      </c>
      <c r="E235" s="572"/>
      <c r="F235" s="575"/>
      <c r="G235" s="102">
        <v>0</v>
      </c>
      <c r="H235" s="101"/>
      <c r="I235" s="53"/>
      <c r="J235" s="518"/>
      <c r="K235" s="575"/>
      <c r="L235" s="102">
        <v>0</v>
      </c>
      <c r="M235" s="101"/>
      <c r="N235" s="53"/>
      <c r="O235" s="518"/>
      <c r="P235" s="575"/>
      <c r="Q235" s="102">
        <v>0</v>
      </c>
      <c r="R235" s="101"/>
      <c r="S235" s="53"/>
      <c r="T235" s="518"/>
      <c r="U235" s="575"/>
      <c r="V235" s="102">
        <v>0</v>
      </c>
      <c r="W235" s="101"/>
      <c r="X235" s="53"/>
      <c r="Y235" s="518"/>
      <c r="Z235" s="575"/>
      <c r="AA235" s="102">
        <v>0</v>
      </c>
      <c r="AB235" s="101"/>
      <c r="AC235" s="53"/>
      <c r="AD235" s="518"/>
      <c r="AE235" s="575"/>
      <c r="AF235" s="102">
        <v>0</v>
      </c>
      <c r="AG235" s="101"/>
      <c r="AH235" s="53"/>
      <c r="AI235" s="518"/>
      <c r="AJ235" s="575"/>
      <c r="AK235" s="102">
        <v>0</v>
      </c>
      <c r="AL235" s="101"/>
      <c r="AM235" s="53"/>
      <c r="AN235" s="518"/>
      <c r="AO235" s="575"/>
      <c r="AP235" s="102">
        <v>0</v>
      </c>
      <c r="AQ235" s="101"/>
      <c r="AR235" s="53"/>
      <c r="AS235" s="518"/>
      <c r="AT235" s="575"/>
      <c r="AU235" s="102">
        <v>0</v>
      </c>
      <c r="AV235" s="101"/>
      <c r="AW235" s="53"/>
      <c r="AX235" s="518"/>
      <c r="AY235" s="575"/>
      <c r="AZ235" s="102">
        <v>0</v>
      </c>
      <c r="BA235" s="101"/>
      <c r="BB235" s="53"/>
      <c r="BC235" s="518"/>
      <c r="BD235" s="575"/>
      <c r="BE235" s="102">
        <v>0</v>
      </c>
      <c r="BF235" s="101"/>
      <c r="BG235" s="53"/>
      <c r="BH235" s="518"/>
      <c r="BI235" s="575"/>
      <c r="BJ235" s="102">
        <v>0</v>
      </c>
      <c r="BK235" s="101"/>
      <c r="BL235" s="53"/>
      <c r="BM235" s="518"/>
      <c r="BN235" s="575"/>
      <c r="BO235" s="102">
        <v>0</v>
      </c>
      <c r="BP235" s="101"/>
      <c r="BQ235" s="53"/>
      <c r="BR235" s="518"/>
      <c r="BS235" s="575"/>
      <c r="BT235" s="102">
        <f>SUM(L235:BO235)</f>
        <v>0</v>
      </c>
      <c r="BU235" s="101"/>
      <c r="BV235" s="53"/>
      <c r="BW235" s="465"/>
      <c r="BZ235" s="410"/>
      <c r="CA235" s="410"/>
    </row>
    <row r="236" spans="1:79" ht="12.75" hidden="1" customHeight="1" x14ac:dyDescent="0.2">
      <c r="A236" s="377"/>
      <c r="B236" s="377"/>
      <c r="D236" s="465"/>
      <c r="E236" s="572"/>
      <c r="F236" s="259"/>
      <c r="G236" s="53"/>
      <c r="H236" s="53"/>
      <c r="I236" s="53"/>
      <c r="J236" s="518"/>
      <c r="K236" s="259"/>
      <c r="L236" s="53"/>
      <c r="M236" s="53"/>
      <c r="N236" s="53"/>
      <c r="O236" s="518"/>
      <c r="P236" s="259"/>
      <c r="Q236" s="53"/>
      <c r="R236" s="53"/>
      <c r="S236" s="53"/>
      <c r="T236" s="518"/>
      <c r="U236" s="259"/>
      <c r="V236" s="53"/>
      <c r="W236" s="53"/>
      <c r="X236" s="53"/>
      <c r="Y236" s="518"/>
      <c r="Z236" s="259"/>
      <c r="AA236" s="53"/>
      <c r="AB236" s="53"/>
      <c r="AC236" s="53"/>
      <c r="AD236" s="518"/>
      <c r="AE236" s="259"/>
      <c r="AF236" s="53"/>
      <c r="AG236" s="53"/>
      <c r="AH236" s="53"/>
      <c r="AI236" s="518"/>
      <c r="AJ236" s="259"/>
      <c r="AK236" s="53"/>
      <c r="AL236" s="53"/>
      <c r="AM236" s="53"/>
      <c r="AN236" s="518"/>
      <c r="AO236" s="259"/>
      <c r="AP236" s="53"/>
      <c r="AQ236" s="53"/>
      <c r="AR236" s="53"/>
      <c r="AS236" s="518"/>
      <c r="AT236" s="259"/>
      <c r="AU236" s="53"/>
      <c r="AV236" s="53"/>
      <c r="AW236" s="53"/>
      <c r="AX236" s="518"/>
      <c r="AY236" s="259"/>
      <c r="AZ236" s="53"/>
      <c r="BA236" s="53"/>
      <c r="BB236" s="53"/>
      <c r="BC236" s="518"/>
      <c r="BD236" s="259"/>
      <c r="BE236" s="53"/>
      <c r="BF236" s="53"/>
      <c r="BG236" s="53"/>
      <c r="BH236" s="518"/>
      <c r="BI236" s="259"/>
      <c r="BJ236" s="53"/>
      <c r="BK236" s="53"/>
      <c r="BL236" s="53"/>
      <c r="BM236" s="518"/>
      <c r="BN236" s="259"/>
      <c r="BO236" s="53"/>
      <c r="BP236" s="53"/>
      <c r="BQ236" s="53"/>
      <c r="BR236" s="518"/>
      <c r="BS236" s="259"/>
      <c r="BT236" s="53"/>
      <c r="BU236" s="53"/>
      <c r="BV236" s="53"/>
      <c r="BW236" s="465"/>
      <c r="BZ236" s="410"/>
      <c r="CA236" s="410"/>
    </row>
    <row r="237" spans="1:79" ht="12.75" hidden="1" customHeight="1" x14ac:dyDescent="0.2">
      <c r="A237" s="377"/>
      <c r="B237" s="377"/>
      <c r="D237" s="465" t="s">
        <v>409</v>
      </c>
      <c r="E237" s="572"/>
      <c r="F237" s="377"/>
      <c r="G237" s="53">
        <f>SUM(G238:G240)</f>
        <v>0</v>
      </c>
      <c r="H237" s="53"/>
      <c r="I237" s="53"/>
      <c r="J237" s="518"/>
      <c r="K237" s="377"/>
      <c r="L237" s="53">
        <f>SUM(L238:L240)</f>
        <v>0</v>
      </c>
      <c r="M237" s="53"/>
      <c r="N237" s="53"/>
      <c r="O237" s="518"/>
      <c r="P237" s="377"/>
      <c r="Q237" s="53">
        <f>SUM(Q238:Q240)</f>
        <v>0</v>
      </c>
      <c r="R237" s="53"/>
      <c r="S237" s="53"/>
      <c r="T237" s="518"/>
      <c r="U237" s="377"/>
      <c r="V237" s="53">
        <f>SUM(V238:V240)</f>
        <v>0</v>
      </c>
      <c r="W237" s="53"/>
      <c r="X237" s="53"/>
      <c r="Y237" s="518"/>
      <c r="Z237" s="377"/>
      <c r="AA237" s="53">
        <f>SUM(AA238:AA240)</f>
        <v>0</v>
      </c>
      <c r="AB237" s="53"/>
      <c r="AC237" s="53"/>
      <c r="AD237" s="518"/>
      <c r="AE237" s="377"/>
      <c r="AF237" s="53">
        <f>SUM(AF238:AF240)</f>
        <v>0</v>
      </c>
      <c r="AG237" s="53"/>
      <c r="AH237" s="53"/>
      <c r="AI237" s="518"/>
      <c r="AJ237" s="377"/>
      <c r="AK237" s="53">
        <f>SUM(AK238:AK240)</f>
        <v>0</v>
      </c>
      <c r="AL237" s="53"/>
      <c r="AM237" s="53"/>
      <c r="AN237" s="518"/>
      <c r="AO237" s="377"/>
      <c r="AP237" s="53">
        <f>SUM(AP238:AP240)</f>
        <v>0</v>
      </c>
      <c r="AQ237" s="53"/>
      <c r="AR237" s="53"/>
      <c r="AS237" s="518"/>
      <c r="AT237" s="377"/>
      <c r="AU237" s="53">
        <f>SUM(AU238:AU240)</f>
        <v>0</v>
      </c>
      <c r="AV237" s="53"/>
      <c r="AW237" s="53"/>
      <c r="AX237" s="518"/>
      <c r="AY237" s="377"/>
      <c r="AZ237" s="53">
        <f>SUM(AZ238:AZ240)</f>
        <v>0</v>
      </c>
      <c r="BA237" s="53"/>
      <c r="BB237" s="53"/>
      <c r="BC237" s="518"/>
      <c r="BD237" s="377"/>
      <c r="BE237" s="53">
        <f>SUM(BE238:BE240)</f>
        <v>0</v>
      </c>
      <c r="BF237" s="53"/>
      <c r="BG237" s="53"/>
      <c r="BH237" s="518"/>
      <c r="BI237" s="377"/>
      <c r="BJ237" s="53">
        <f>SUM(BJ238:BJ240)</f>
        <v>0</v>
      </c>
      <c r="BK237" s="53"/>
      <c r="BL237" s="53"/>
      <c r="BM237" s="518"/>
      <c r="BN237" s="377"/>
      <c r="BO237" s="53">
        <f>SUM(BO238:BO240)</f>
        <v>0</v>
      </c>
      <c r="BP237" s="53"/>
      <c r="BQ237" s="53"/>
      <c r="BR237" s="518"/>
      <c r="BS237" s="377"/>
      <c r="BT237" s="53">
        <f>SUM(BT238:BT240)</f>
        <v>0</v>
      </c>
      <c r="BU237" s="53"/>
      <c r="BV237" s="53"/>
      <c r="BW237" s="465"/>
      <c r="BZ237" s="410"/>
      <c r="CA237" s="410"/>
    </row>
    <row r="238" spans="1:79" ht="12.75" hidden="1" customHeight="1" x14ac:dyDescent="0.2">
      <c r="A238" s="377"/>
      <c r="B238" s="377"/>
      <c r="D238" s="465" t="s">
        <v>378</v>
      </c>
      <c r="E238" s="572"/>
      <c r="F238" s="469"/>
      <c r="G238" s="520">
        <v>0</v>
      </c>
      <c r="H238" s="521"/>
      <c r="I238" s="53"/>
      <c r="J238" s="518"/>
      <c r="K238" s="469"/>
      <c r="L238" s="520">
        <v>0</v>
      </c>
      <c r="M238" s="521"/>
      <c r="N238" s="53"/>
      <c r="O238" s="518"/>
      <c r="P238" s="469"/>
      <c r="Q238" s="520">
        <v>0</v>
      </c>
      <c r="R238" s="521"/>
      <c r="S238" s="53"/>
      <c r="T238" s="518"/>
      <c r="U238" s="469"/>
      <c r="V238" s="520">
        <v>0</v>
      </c>
      <c r="W238" s="521"/>
      <c r="X238" s="53"/>
      <c r="Y238" s="518"/>
      <c r="Z238" s="469"/>
      <c r="AA238" s="520">
        <v>0</v>
      </c>
      <c r="AB238" s="521"/>
      <c r="AC238" s="53"/>
      <c r="AD238" s="518"/>
      <c r="AE238" s="469"/>
      <c r="AF238" s="520">
        <v>0</v>
      </c>
      <c r="AG238" s="521"/>
      <c r="AH238" s="53"/>
      <c r="AI238" s="518"/>
      <c r="AJ238" s="469"/>
      <c r="AK238" s="520">
        <v>0</v>
      </c>
      <c r="AL238" s="521"/>
      <c r="AM238" s="53"/>
      <c r="AN238" s="518"/>
      <c r="AO238" s="469"/>
      <c r="AP238" s="520">
        <v>0</v>
      </c>
      <c r="AQ238" s="521"/>
      <c r="AR238" s="53"/>
      <c r="AS238" s="518"/>
      <c r="AT238" s="469"/>
      <c r="AU238" s="520">
        <v>0</v>
      </c>
      <c r="AV238" s="521"/>
      <c r="AW238" s="53"/>
      <c r="AX238" s="518"/>
      <c r="AY238" s="469"/>
      <c r="AZ238" s="520">
        <v>0</v>
      </c>
      <c r="BA238" s="521"/>
      <c r="BB238" s="53"/>
      <c r="BC238" s="518"/>
      <c r="BD238" s="469"/>
      <c r="BE238" s="520">
        <v>0</v>
      </c>
      <c r="BF238" s="521"/>
      <c r="BG238" s="53"/>
      <c r="BH238" s="518"/>
      <c r="BI238" s="469"/>
      <c r="BJ238" s="520">
        <v>0</v>
      </c>
      <c r="BK238" s="521"/>
      <c r="BL238" s="53"/>
      <c r="BM238" s="518"/>
      <c r="BN238" s="469"/>
      <c r="BO238" s="520">
        <v>0</v>
      </c>
      <c r="BP238" s="521"/>
      <c r="BQ238" s="53"/>
      <c r="BR238" s="518"/>
      <c r="BS238" s="469"/>
      <c r="BT238" s="520">
        <f>SUM(L238:BO238)</f>
        <v>0</v>
      </c>
      <c r="BU238" s="521"/>
      <c r="BV238" s="53"/>
      <c r="BW238" s="465"/>
      <c r="BZ238" s="410"/>
      <c r="CA238" s="410"/>
    </row>
    <row r="239" spans="1:79" ht="12.75" hidden="1" customHeight="1" x14ac:dyDescent="0.2">
      <c r="A239" s="377"/>
      <c r="B239" s="377"/>
      <c r="D239" s="465" t="s">
        <v>380</v>
      </c>
      <c r="E239" s="572"/>
      <c r="F239" s="417"/>
      <c r="G239" s="53">
        <v>0</v>
      </c>
      <c r="H239" s="52"/>
      <c r="I239" s="53"/>
      <c r="J239" s="518"/>
      <c r="K239" s="417"/>
      <c r="L239" s="53">
        <v>0</v>
      </c>
      <c r="M239" s="52"/>
      <c r="N239" s="53"/>
      <c r="O239" s="518"/>
      <c r="P239" s="417"/>
      <c r="Q239" s="53">
        <v>0</v>
      </c>
      <c r="R239" s="52"/>
      <c r="S239" s="53"/>
      <c r="T239" s="518"/>
      <c r="U239" s="417"/>
      <c r="V239" s="53">
        <v>0</v>
      </c>
      <c r="W239" s="52"/>
      <c r="X239" s="53"/>
      <c r="Y239" s="518"/>
      <c r="Z239" s="417"/>
      <c r="AA239" s="53">
        <v>0</v>
      </c>
      <c r="AB239" s="52"/>
      <c r="AC239" s="53"/>
      <c r="AD239" s="518"/>
      <c r="AE239" s="417"/>
      <c r="AF239" s="53">
        <v>0</v>
      </c>
      <c r="AG239" s="52"/>
      <c r="AH239" s="53"/>
      <c r="AI239" s="518"/>
      <c r="AJ239" s="417"/>
      <c r="AK239" s="53">
        <v>0</v>
      </c>
      <c r="AL239" s="52"/>
      <c r="AM239" s="53"/>
      <c r="AN239" s="518"/>
      <c r="AO239" s="417"/>
      <c r="AP239" s="53">
        <v>0</v>
      </c>
      <c r="AQ239" s="52"/>
      <c r="AR239" s="53"/>
      <c r="AS239" s="518"/>
      <c r="AT239" s="417"/>
      <c r="AU239" s="53">
        <v>0</v>
      </c>
      <c r="AV239" s="52"/>
      <c r="AW239" s="53"/>
      <c r="AX239" s="518"/>
      <c r="AY239" s="417"/>
      <c r="AZ239" s="53">
        <v>0</v>
      </c>
      <c r="BA239" s="52"/>
      <c r="BB239" s="53"/>
      <c r="BC239" s="518"/>
      <c r="BD239" s="417"/>
      <c r="BE239" s="53">
        <v>0</v>
      </c>
      <c r="BF239" s="52"/>
      <c r="BG239" s="53"/>
      <c r="BH239" s="518"/>
      <c r="BI239" s="417"/>
      <c r="BJ239" s="53">
        <v>0</v>
      </c>
      <c r="BK239" s="52"/>
      <c r="BL239" s="53"/>
      <c r="BM239" s="518"/>
      <c r="BN239" s="417"/>
      <c r="BO239" s="53">
        <v>0</v>
      </c>
      <c r="BP239" s="52"/>
      <c r="BQ239" s="53"/>
      <c r="BR239" s="518"/>
      <c r="BS239" s="417"/>
      <c r="BT239" s="53">
        <f>SUM(L239:BO239)</f>
        <v>0</v>
      </c>
      <c r="BU239" s="52"/>
      <c r="BV239" s="53"/>
      <c r="BW239" s="465"/>
      <c r="BZ239" s="410"/>
      <c r="CA239" s="410"/>
    </row>
    <row r="240" spans="1:79" ht="12.75" hidden="1" customHeight="1" x14ac:dyDescent="0.2">
      <c r="A240" s="377"/>
      <c r="B240" s="377"/>
      <c r="D240" s="465" t="s">
        <v>388</v>
      </c>
      <c r="E240" s="572"/>
      <c r="F240" s="478"/>
      <c r="G240" s="102">
        <v>0</v>
      </c>
      <c r="H240" s="101"/>
      <c r="I240" s="53"/>
      <c r="J240" s="518"/>
      <c r="K240" s="478"/>
      <c r="L240" s="102">
        <v>0</v>
      </c>
      <c r="M240" s="101"/>
      <c r="N240" s="53"/>
      <c r="O240" s="518"/>
      <c r="P240" s="478"/>
      <c r="Q240" s="102">
        <v>0</v>
      </c>
      <c r="R240" s="101"/>
      <c r="S240" s="53"/>
      <c r="T240" s="518"/>
      <c r="U240" s="478"/>
      <c r="V240" s="102">
        <v>0</v>
      </c>
      <c r="W240" s="101"/>
      <c r="X240" s="53"/>
      <c r="Y240" s="518"/>
      <c r="Z240" s="478"/>
      <c r="AA240" s="102">
        <v>0</v>
      </c>
      <c r="AB240" s="101"/>
      <c r="AC240" s="53"/>
      <c r="AD240" s="518"/>
      <c r="AE240" s="478"/>
      <c r="AF240" s="102">
        <v>0</v>
      </c>
      <c r="AG240" s="101"/>
      <c r="AH240" s="53"/>
      <c r="AI240" s="518"/>
      <c r="AJ240" s="478"/>
      <c r="AK240" s="102">
        <v>0</v>
      </c>
      <c r="AL240" s="101"/>
      <c r="AM240" s="53"/>
      <c r="AN240" s="518"/>
      <c r="AO240" s="478"/>
      <c r="AP240" s="102">
        <v>0</v>
      </c>
      <c r="AQ240" s="101"/>
      <c r="AR240" s="53"/>
      <c r="AS240" s="518"/>
      <c r="AT240" s="478"/>
      <c r="AU240" s="102">
        <v>0</v>
      </c>
      <c r="AV240" s="101"/>
      <c r="AW240" s="53"/>
      <c r="AX240" s="518"/>
      <c r="AY240" s="478"/>
      <c r="AZ240" s="102">
        <v>0</v>
      </c>
      <c r="BA240" s="101"/>
      <c r="BB240" s="53"/>
      <c r="BC240" s="518"/>
      <c r="BD240" s="478"/>
      <c r="BE240" s="102">
        <v>0</v>
      </c>
      <c r="BF240" s="101"/>
      <c r="BG240" s="53"/>
      <c r="BH240" s="518"/>
      <c r="BI240" s="478"/>
      <c r="BJ240" s="102">
        <v>0</v>
      </c>
      <c r="BK240" s="101"/>
      <c r="BL240" s="53"/>
      <c r="BM240" s="518"/>
      <c r="BN240" s="478"/>
      <c r="BO240" s="102">
        <v>0</v>
      </c>
      <c r="BP240" s="101"/>
      <c r="BQ240" s="53"/>
      <c r="BR240" s="518"/>
      <c r="BS240" s="478"/>
      <c r="BT240" s="102">
        <f>SUM(L240:BO240)</f>
        <v>0</v>
      </c>
      <c r="BU240" s="101"/>
      <c r="BV240" s="53"/>
      <c r="BW240" s="465"/>
      <c r="BZ240" s="410"/>
      <c r="CA240" s="410"/>
    </row>
    <row r="241" spans="1:79" ht="12.75" hidden="1" customHeight="1" x14ac:dyDescent="0.2">
      <c r="A241" s="377"/>
      <c r="B241" s="377"/>
      <c r="D241" s="465"/>
      <c r="E241" s="572"/>
      <c r="F241" s="377"/>
      <c r="G241" s="53"/>
      <c r="H241" s="53"/>
      <c r="I241" s="53"/>
      <c r="J241" s="518"/>
      <c r="K241" s="377"/>
      <c r="L241" s="53"/>
      <c r="M241" s="53"/>
      <c r="N241" s="53"/>
      <c r="O241" s="518"/>
      <c r="P241" s="377"/>
      <c r="Q241" s="53"/>
      <c r="R241" s="53"/>
      <c r="S241" s="53"/>
      <c r="T241" s="518"/>
      <c r="U241" s="377"/>
      <c r="V241" s="53"/>
      <c r="W241" s="53"/>
      <c r="X241" s="53"/>
      <c r="Y241" s="518"/>
      <c r="Z241" s="377"/>
      <c r="AA241" s="53"/>
      <c r="AB241" s="53"/>
      <c r="AC241" s="53"/>
      <c r="AD241" s="518"/>
      <c r="AE241" s="377"/>
      <c r="AF241" s="53"/>
      <c r="AG241" s="53"/>
      <c r="AH241" s="53"/>
      <c r="AI241" s="518"/>
      <c r="AJ241" s="377"/>
      <c r="AK241" s="53"/>
      <c r="AL241" s="53"/>
      <c r="AM241" s="53"/>
      <c r="AN241" s="518"/>
      <c r="AO241" s="377"/>
      <c r="AP241" s="53"/>
      <c r="AQ241" s="53"/>
      <c r="AR241" s="53"/>
      <c r="AS241" s="518"/>
      <c r="AT241" s="377"/>
      <c r="AU241" s="53"/>
      <c r="AV241" s="53"/>
      <c r="AW241" s="53"/>
      <c r="AX241" s="518"/>
      <c r="AY241" s="377"/>
      <c r="AZ241" s="53"/>
      <c r="BA241" s="53"/>
      <c r="BB241" s="53"/>
      <c r="BC241" s="518"/>
      <c r="BD241" s="377"/>
      <c r="BE241" s="53"/>
      <c r="BF241" s="53"/>
      <c r="BG241" s="53"/>
      <c r="BH241" s="518"/>
      <c r="BI241" s="377"/>
      <c r="BJ241" s="53"/>
      <c r="BK241" s="53"/>
      <c r="BL241" s="53"/>
      <c r="BM241" s="518"/>
      <c r="BN241" s="377"/>
      <c r="BO241" s="53"/>
      <c r="BP241" s="53"/>
      <c r="BQ241" s="53"/>
      <c r="BR241" s="518"/>
      <c r="BS241" s="377"/>
      <c r="BT241" s="53"/>
      <c r="BU241" s="53"/>
      <c r="BV241" s="53"/>
      <c r="BW241" s="465"/>
      <c r="BZ241" s="410"/>
      <c r="CA241" s="410"/>
    </row>
    <row r="242" spans="1:79" ht="12.75" hidden="1" customHeight="1" x14ac:dyDescent="0.2">
      <c r="A242" s="377"/>
      <c r="B242" s="377"/>
      <c r="D242" s="465" t="s">
        <v>387</v>
      </c>
      <c r="F242" s="377"/>
      <c r="G242" s="53">
        <f>SUM(G243:G245)</f>
        <v>0</v>
      </c>
      <c r="H242" s="53"/>
      <c r="I242" s="53"/>
      <c r="J242" s="518"/>
      <c r="K242" s="53"/>
      <c r="L242" s="53">
        <f>SUM(L243:L245)</f>
        <v>0</v>
      </c>
      <c r="M242" s="53"/>
      <c r="N242" s="53"/>
      <c r="O242" s="518"/>
      <c r="P242" s="53"/>
      <c r="Q242" s="53">
        <f>SUM(Q243:Q245)</f>
        <v>0</v>
      </c>
      <c r="R242" s="53"/>
      <c r="S242" s="53"/>
      <c r="T242" s="518"/>
      <c r="U242" s="53"/>
      <c r="V242" s="53">
        <f>SUM(V243:V245)</f>
        <v>0</v>
      </c>
      <c r="W242" s="53"/>
      <c r="X242" s="53"/>
      <c r="Y242" s="518"/>
      <c r="Z242" s="53"/>
      <c r="AA242" s="53">
        <f>SUM(AA243:AA245)</f>
        <v>0</v>
      </c>
      <c r="AB242" s="53"/>
      <c r="AC242" s="53"/>
      <c r="AD242" s="518"/>
      <c r="AE242" s="53"/>
      <c r="AF242" s="53">
        <f>SUM(AF243:AF245)</f>
        <v>0</v>
      </c>
      <c r="AG242" s="53"/>
      <c r="AH242" s="53"/>
      <c r="AI242" s="518"/>
      <c r="AJ242" s="53"/>
      <c r="AK242" s="53">
        <f>SUM(AK243:AK245)</f>
        <v>0</v>
      </c>
      <c r="AL242" s="53"/>
      <c r="AM242" s="53"/>
      <c r="AN242" s="518"/>
      <c r="AO242" s="53"/>
      <c r="AP242" s="53">
        <f>SUM(AP243:AP245)</f>
        <v>0</v>
      </c>
      <c r="AQ242" s="53"/>
      <c r="AR242" s="53"/>
      <c r="AS242" s="518"/>
      <c r="AT242" s="53"/>
      <c r="AU242" s="53">
        <f>SUM(AU243:AU245)</f>
        <v>0</v>
      </c>
      <c r="AV242" s="53"/>
      <c r="AW242" s="53"/>
      <c r="AX242" s="518"/>
      <c r="AY242" s="53"/>
      <c r="AZ242" s="53">
        <f>SUM(AZ243:AZ245)</f>
        <v>0</v>
      </c>
      <c r="BA242" s="53"/>
      <c r="BB242" s="53"/>
      <c r="BC242" s="518"/>
      <c r="BD242" s="53"/>
      <c r="BE242" s="53">
        <f>SUM(BE243:BE245)</f>
        <v>0</v>
      </c>
      <c r="BF242" s="53"/>
      <c r="BG242" s="53"/>
      <c r="BH242" s="518"/>
      <c r="BI242" s="53"/>
      <c r="BJ242" s="53">
        <f>SUM(BJ243:BJ245)</f>
        <v>0</v>
      </c>
      <c r="BK242" s="53"/>
      <c r="BL242" s="53"/>
      <c r="BM242" s="518"/>
      <c r="BN242" s="53"/>
      <c r="BO242" s="53">
        <f>SUM(BO243:BO245)</f>
        <v>0</v>
      </c>
      <c r="BP242" s="53"/>
      <c r="BQ242" s="53"/>
      <c r="BR242" s="518"/>
      <c r="BS242" s="53"/>
      <c r="BT242" s="53">
        <f>SUM(BT243:BT245)</f>
        <v>0</v>
      </c>
      <c r="BU242" s="53"/>
      <c r="BV242" s="53"/>
      <c r="BW242" s="465"/>
      <c r="BZ242" s="410"/>
      <c r="CA242" s="410"/>
    </row>
    <row r="243" spans="1:79" ht="12.75" hidden="1" customHeight="1" x14ac:dyDescent="0.2">
      <c r="A243" s="377"/>
      <c r="B243" s="377"/>
      <c r="D243" s="465" t="s">
        <v>378</v>
      </c>
      <c r="F243" s="469"/>
      <c r="G243" s="520">
        <v>0</v>
      </c>
      <c r="H243" s="521"/>
      <c r="I243" s="53"/>
      <c r="J243" s="518"/>
      <c r="K243" s="519"/>
      <c r="L243" s="520">
        <v>0</v>
      </c>
      <c r="M243" s="521"/>
      <c r="N243" s="53"/>
      <c r="O243" s="518"/>
      <c r="P243" s="519"/>
      <c r="Q243" s="520">
        <v>0</v>
      </c>
      <c r="R243" s="521"/>
      <c r="S243" s="53"/>
      <c r="T243" s="518"/>
      <c r="U243" s="519"/>
      <c r="V243" s="520">
        <v>0</v>
      </c>
      <c r="W243" s="521"/>
      <c r="X243" s="53"/>
      <c r="Y243" s="518"/>
      <c r="Z243" s="519"/>
      <c r="AA243" s="520">
        <v>0</v>
      </c>
      <c r="AB243" s="521"/>
      <c r="AC243" s="53"/>
      <c r="AD243" s="518"/>
      <c r="AE243" s="519"/>
      <c r="AF243" s="520">
        <v>0</v>
      </c>
      <c r="AG243" s="521"/>
      <c r="AH243" s="53"/>
      <c r="AI243" s="518"/>
      <c r="AJ243" s="519"/>
      <c r="AK243" s="520">
        <v>0</v>
      </c>
      <c r="AL243" s="521"/>
      <c r="AM243" s="53"/>
      <c r="AN243" s="518"/>
      <c r="AO243" s="519"/>
      <c r="AP243" s="520">
        <v>0</v>
      </c>
      <c r="AQ243" s="521"/>
      <c r="AR243" s="53"/>
      <c r="AS243" s="518"/>
      <c r="AT243" s="519"/>
      <c r="AU243" s="520">
        <v>0</v>
      </c>
      <c r="AV243" s="521"/>
      <c r="AW243" s="53"/>
      <c r="AX243" s="518"/>
      <c r="AY243" s="519"/>
      <c r="AZ243" s="520">
        <v>0</v>
      </c>
      <c r="BA243" s="521"/>
      <c r="BB243" s="53"/>
      <c r="BC243" s="518"/>
      <c r="BD243" s="519"/>
      <c r="BE243" s="520">
        <v>0</v>
      </c>
      <c r="BF243" s="521"/>
      <c r="BG243" s="53"/>
      <c r="BH243" s="518"/>
      <c r="BI243" s="519"/>
      <c r="BJ243" s="520">
        <v>0</v>
      </c>
      <c r="BK243" s="521"/>
      <c r="BL243" s="53"/>
      <c r="BM243" s="518"/>
      <c r="BN243" s="519"/>
      <c r="BO243" s="520">
        <v>0</v>
      </c>
      <c r="BP243" s="521"/>
      <c r="BQ243" s="53"/>
      <c r="BR243" s="518"/>
      <c r="BS243" s="519"/>
      <c r="BT243" s="520">
        <f>SUM(L243:BO243)</f>
        <v>0</v>
      </c>
      <c r="BU243" s="521"/>
      <c r="BV243" s="53"/>
      <c r="BW243" s="465"/>
      <c r="BZ243" s="410"/>
      <c r="CA243" s="410"/>
    </row>
    <row r="244" spans="1:79" ht="12.75" hidden="1" customHeight="1" x14ac:dyDescent="0.2">
      <c r="A244" s="377"/>
      <c r="B244" s="377"/>
      <c r="D244" s="465" t="s">
        <v>380</v>
      </c>
      <c r="F244" s="417"/>
      <c r="G244" s="53">
        <v>0</v>
      </c>
      <c r="H244" s="52"/>
      <c r="I244" s="53"/>
      <c r="J244" s="518"/>
      <c r="K244" s="518"/>
      <c r="L244" s="53">
        <v>0</v>
      </c>
      <c r="M244" s="52"/>
      <c r="N244" s="53"/>
      <c r="O244" s="518"/>
      <c r="P244" s="518"/>
      <c r="Q244" s="53">
        <v>0</v>
      </c>
      <c r="R244" s="52"/>
      <c r="S244" s="53"/>
      <c r="T244" s="518"/>
      <c r="U244" s="518"/>
      <c r="V244" s="53">
        <v>0</v>
      </c>
      <c r="W244" s="52"/>
      <c r="X244" s="53"/>
      <c r="Y244" s="518"/>
      <c r="Z244" s="518"/>
      <c r="AA244" s="53">
        <v>0</v>
      </c>
      <c r="AB244" s="52"/>
      <c r="AC244" s="53"/>
      <c r="AD244" s="518"/>
      <c r="AE244" s="518"/>
      <c r="AF244" s="53">
        <v>0</v>
      </c>
      <c r="AG244" s="52"/>
      <c r="AH244" s="53"/>
      <c r="AI244" s="518"/>
      <c r="AJ244" s="518"/>
      <c r="AK244" s="53">
        <v>0</v>
      </c>
      <c r="AL244" s="52"/>
      <c r="AM244" s="53"/>
      <c r="AN244" s="518"/>
      <c r="AO244" s="518"/>
      <c r="AP244" s="53">
        <v>0</v>
      </c>
      <c r="AQ244" s="52"/>
      <c r="AR244" s="53"/>
      <c r="AS244" s="518"/>
      <c r="AT244" s="518"/>
      <c r="AU244" s="53">
        <v>0</v>
      </c>
      <c r="AV244" s="52"/>
      <c r="AW244" s="53"/>
      <c r="AX244" s="518"/>
      <c r="AY244" s="518"/>
      <c r="AZ244" s="53">
        <v>0</v>
      </c>
      <c r="BA244" s="52"/>
      <c r="BB244" s="53"/>
      <c r="BC244" s="518"/>
      <c r="BD244" s="518"/>
      <c r="BE244" s="53">
        <v>0</v>
      </c>
      <c r="BF244" s="52"/>
      <c r="BG244" s="53"/>
      <c r="BH244" s="518"/>
      <c r="BI244" s="518"/>
      <c r="BJ244" s="53">
        <v>0</v>
      </c>
      <c r="BK244" s="52"/>
      <c r="BL244" s="53"/>
      <c r="BM244" s="518"/>
      <c r="BN244" s="518"/>
      <c r="BO244" s="53">
        <v>0</v>
      </c>
      <c r="BP244" s="52"/>
      <c r="BQ244" s="53"/>
      <c r="BR244" s="518"/>
      <c r="BS244" s="518"/>
      <c r="BT244" s="53">
        <f>SUM(L244:BO244)</f>
        <v>0</v>
      </c>
      <c r="BU244" s="52"/>
      <c r="BV244" s="53"/>
      <c r="BW244" s="465"/>
      <c r="BZ244" s="410"/>
      <c r="CA244" s="410"/>
    </row>
    <row r="245" spans="1:79" ht="12.75" hidden="1" customHeight="1" x14ac:dyDescent="0.2">
      <c r="A245" s="377"/>
      <c r="B245" s="377"/>
      <c r="D245" s="465" t="s">
        <v>388</v>
      </c>
      <c r="F245" s="478"/>
      <c r="G245" s="102">
        <v>0</v>
      </c>
      <c r="H245" s="101"/>
      <c r="I245" s="53"/>
      <c r="J245" s="518"/>
      <c r="K245" s="522"/>
      <c r="L245" s="102">
        <v>0</v>
      </c>
      <c r="M245" s="101"/>
      <c r="N245" s="53"/>
      <c r="O245" s="518"/>
      <c r="P245" s="522"/>
      <c r="Q245" s="102">
        <v>0</v>
      </c>
      <c r="R245" s="101"/>
      <c r="S245" s="53"/>
      <c r="T245" s="518"/>
      <c r="U245" s="522"/>
      <c r="V245" s="102">
        <v>0</v>
      </c>
      <c r="W245" s="101"/>
      <c r="X245" s="53"/>
      <c r="Y245" s="518"/>
      <c r="Z245" s="522"/>
      <c r="AA245" s="102">
        <v>0</v>
      </c>
      <c r="AB245" s="101"/>
      <c r="AC245" s="53"/>
      <c r="AD245" s="518"/>
      <c r="AE245" s="522"/>
      <c r="AF245" s="102">
        <v>0</v>
      </c>
      <c r="AG245" s="101"/>
      <c r="AH245" s="53"/>
      <c r="AI245" s="518"/>
      <c r="AJ245" s="522"/>
      <c r="AK245" s="102">
        <v>0</v>
      </c>
      <c r="AL245" s="101"/>
      <c r="AM245" s="53"/>
      <c r="AN245" s="518"/>
      <c r="AO245" s="522"/>
      <c r="AP245" s="102">
        <v>0</v>
      </c>
      <c r="AQ245" s="101"/>
      <c r="AR245" s="53"/>
      <c r="AS245" s="518"/>
      <c r="AT245" s="522"/>
      <c r="AU245" s="102">
        <v>0</v>
      </c>
      <c r="AV245" s="101"/>
      <c r="AW245" s="53"/>
      <c r="AX245" s="518"/>
      <c r="AY245" s="522"/>
      <c r="AZ245" s="102">
        <v>0</v>
      </c>
      <c r="BA245" s="101"/>
      <c r="BB245" s="53"/>
      <c r="BC245" s="518"/>
      <c r="BD245" s="522"/>
      <c r="BE245" s="102">
        <v>0</v>
      </c>
      <c r="BF245" s="101"/>
      <c r="BG245" s="53"/>
      <c r="BH245" s="518"/>
      <c r="BI245" s="522"/>
      <c r="BJ245" s="102">
        <v>0</v>
      </c>
      <c r="BK245" s="101"/>
      <c r="BL245" s="53"/>
      <c r="BM245" s="518"/>
      <c r="BN245" s="522"/>
      <c r="BO245" s="102">
        <v>0</v>
      </c>
      <c r="BP245" s="101"/>
      <c r="BQ245" s="53"/>
      <c r="BR245" s="518"/>
      <c r="BS245" s="522"/>
      <c r="BT245" s="102">
        <f>SUM(L245:BO245)</f>
        <v>0</v>
      </c>
      <c r="BU245" s="101"/>
      <c r="BV245" s="53"/>
      <c r="BW245" s="465"/>
      <c r="BZ245" s="410"/>
      <c r="CA245" s="410"/>
    </row>
    <row r="246" spans="1:79" ht="12.75" hidden="1" customHeight="1" x14ac:dyDescent="0.2">
      <c r="A246" s="377"/>
      <c r="B246" s="377"/>
      <c r="D246" s="465"/>
      <c r="E246" s="572"/>
      <c r="F246" s="377"/>
      <c r="G246" s="53"/>
      <c r="H246" s="53"/>
      <c r="I246" s="53"/>
      <c r="J246" s="518"/>
      <c r="K246" s="377"/>
      <c r="L246" s="53"/>
      <c r="M246" s="53"/>
      <c r="N246" s="53"/>
      <c r="O246" s="518"/>
      <c r="P246" s="377"/>
      <c r="Q246" s="53"/>
      <c r="R246" s="53"/>
      <c r="S246" s="53"/>
      <c r="T246" s="518"/>
      <c r="U246" s="377"/>
      <c r="V246" s="53"/>
      <c r="W246" s="53"/>
      <c r="X246" s="53"/>
      <c r="Y246" s="518"/>
      <c r="Z246" s="377"/>
      <c r="AA246" s="53"/>
      <c r="AB246" s="53"/>
      <c r="AC246" s="53"/>
      <c r="AD246" s="518"/>
      <c r="AE246" s="377"/>
      <c r="AF246" s="53"/>
      <c r="AG246" s="53"/>
      <c r="AH246" s="53"/>
      <c r="AI246" s="518"/>
      <c r="AJ246" s="377"/>
      <c r="AK246" s="53"/>
      <c r="AL246" s="53"/>
      <c r="AM246" s="53"/>
      <c r="AN246" s="518"/>
      <c r="AO246" s="377"/>
      <c r="AP246" s="53"/>
      <c r="AQ246" s="53"/>
      <c r="AR246" s="53"/>
      <c r="AS246" s="518"/>
      <c r="AT246" s="377"/>
      <c r="AU246" s="53"/>
      <c r="AV246" s="53"/>
      <c r="AW246" s="53"/>
      <c r="AX246" s="518"/>
      <c r="AY246" s="377"/>
      <c r="AZ246" s="53"/>
      <c r="BA246" s="53"/>
      <c r="BB246" s="53"/>
      <c r="BC246" s="518"/>
      <c r="BD246" s="377"/>
      <c r="BE246" s="53"/>
      <c r="BF246" s="53"/>
      <c r="BG246" s="53"/>
      <c r="BH246" s="518"/>
      <c r="BI246" s="377"/>
      <c r="BJ246" s="53"/>
      <c r="BK246" s="53"/>
      <c r="BL246" s="53"/>
      <c r="BM246" s="518"/>
      <c r="BN246" s="377"/>
      <c r="BO246" s="53"/>
      <c r="BP246" s="53"/>
      <c r="BQ246" s="53"/>
      <c r="BR246" s="518"/>
      <c r="BS246" s="377"/>
      <c r="BT246" s="53"/>
      <c r="BU246" s="53"/>
      <c r="BV246" s="53"/>
      <c r="BW246" s="465"/>
      <c r="BZ246" s="410"/>
      <c r="CA246" s="410"/>
    </row>
    <row r="247" spans="1:79" ht="12.75" hidden="1" customHeight="1" x14ac:dyDescent="0.2">
      <c r="A247" s="377"/>
      <c r="B247" s="377"/>
      <c r="D247" s="465" t="s">
        <v>404</v>
      </c>
      <c r="F247" s="377"/>
      <c r="G247" s="53">
        <f>SUM(G248:G250)</f>
        <v>0</v>
      </c>
      <c r="H247" s="53"/>
      <c r="I247" s="53"/>
      <c r="J247" s="518"/>
      <c r="K247" s="53"/>
      <c r="L247" s="53">
        <f>SUM(L248:L250)</f>
        <v>0</v>
      </c>
      <c r="M247" s="53"/>
      <c r="N247" s="53"/>
      <c r="O247" s="518"/>
      <c r="P247" s="53"/>
      <c r="Q247" s="53">
        <f>SUM(Q248:Q250)</f>
        <v>0</v>
      </c>
      <c r="R247" s="53"/>
      <c r="S247" s="53"/>
      <c r="T247" s="518"/>
      <c r="U247" s="53"/>
      <c r="V247" s="53">
        <f>SUM(V248:V250)</f>
        <v>0</v>
      </c>
      <c r="W247" s="53"/>
      <c r="X247" s="53"/>
      <c r="Y247" s="518"/>
      <c r="Z247" s="53"/>
      <c r="AA247" s="53">
        <f>SUM(AA248:AA250)</f>
        <v>0</v>
      </c>
      <c r="AB247" s="53"/>
      <c r="AC247" s="53"/>
      <c r="AD247" s="518"/>
      <c r="AE247" s="53"/>
      <c r="AF247" s="53">
        <f>SUM(AF248:AF250)</f>
        <v>0</v>
      </c>
      <c r="AG247" s="53"/>
      <c r="AH247" s="53"/>
      <c r="AI247" s="518"/>
      <c r="AJ247" s="53"/>
      <c r="AK247" s="53">
        <f>SUM(AK248:AK250)</f>
        <v>0</v>
      </c>
      <c r="AL247" s="53"/>
      <c r="AM247" s="53"/>
      <c r="AN247" s="518"/>
      <c r="AO247" s="53"/>
      <c r="AP247" s="53">
        <f>SUM(AP248:AP250)</f>
        <v>0</v>
      </c>
      <c r="AQ247" s="53"/>
      <c r="AR247" s="53"/>
      <c r="AS247" s="518"/>
      <c r="AT247" s="53"/>
      <c r="AU247" s="53">
        <f>SUM(AU248:AU250)</f>
        <v>0</v>
      </c>
      <c r="AV247" s="53"/>
      <c r="AW247" s="53"/>
      <c r="AX247" s="518"/>
      <c r="AY247" s="53"/>
      <c r="AZ247" s="53">
        <f>SUM(AZ248:AZ250)</f>
        <v>0</v>
      </c>
      <c r="BA247" s="53"/>
      <c r="BB247" s="53"/>
      <c r="BC247" s="518"/>
      <c r="BD247" s="53"/>
      <c r="BE247" s="53">
        <f>SUM(BE248:BE250)</f>
        <v>0</v>
      </c>
      <c r="BF247" s="53"/>
      <c r="BG247" s="53"/>
      <c r="BH247" s="518"/>
      <c r="BI247" s="53"/>
      <c r="BJ247" s="53">
        <f>SUM(BJ248:BJ250)</f>
        <v>0</v>
      </c>
      <c r="BK247" s="53"/>
      <c r="BL247" s="53"/>
      <c r="BM247" s="518"/>
      <c r="BN247" s="53"/>
      <c r="BO247" s="53">
        <f>SUM(BO248:BO250)</f>
        <v>0</v>
      </c>
      <c r="BP247" s="53"/>
      <c r="BQ247" s="53"/>
      <c r="BR247" s="518"/>
      <c r="BS247" s="53"/>
      <c r="BT247" s="53">
        <f>SUM(BT248:BT250)</f>
        <v>0</v>
      </c>
      <c r="BU247" s="53"/>
      <c r="BV247" s="53"/>
      <c r="BW247" s="465"/>
      <c r="BZ247" s="410"/>
      <c r="CA247" s="410"/>
    </row>
    <row r="248" spans="1:79" ht="12.75" hidden="1" customHeight="1" x14ac:dyDescent="0.2">
      <c r="A248" s="377"/>
      <c r="B248" s="377"/>
      <c r="D248" s="465" t="s">
        <v>378</v>
      </c>
      <c r="F248" s="469"/>
      <c r="G248" s="520">
        <v>0</v>
      </c>
      <c r="H248" s="521"/>
      <c r="I248" s="53"/>
      <c r="J248" s="518"/>
      <c r="K248" s="519"/>
      <c r="L248" s="520">
        <v>0</v>
      </c>
      <c r="M248" s="521"/>
      <c r="N248" s="53"/>
      <c r="O248" s="518"/>
      <c r="P248" s="519"/>
      <c r="Q248" s="520">
        <v>0</v>
      </c>
      <c r="R248" s="521"/>
      <c r="S248" s="53"/>
      <c r="T248" s="518"/>
      <c r="U248" s="519"/>
      <c r="V248" s="520">
        <v>0</v>
      </c>
      <c r="W248" s="521"/>
      <c r="X248" s="53"/>
      <c r="Y248" s="518"/>
      <c r="Z248" s="519"/>
      <c r="AA248" s="520">
        <v>0</v>
      </c>
      <c r="AB248" s="521"/>
      <c r="AC248" s="53"/>
      <c r="AD248" s="518"/>
      <c r="AE248" s="519"/>
      <c r="AF248" s="520">
        <v>0</v>
      </c>
      <c r="AG248" s="521"/>
      <c r="AH248" s="53"/>
      <c r="AI248" s="518"/>
      <c r="AJ248" s="519"/>
      <c r="AK248" s="520">
        <v>0</v>
      </c>
      <c r="AL248" s="521"/>
      <c r="AM248" s="53"/>
      <c r="AN248" s="518"/>
      <c r="AO248" s="519"/>
      <c r="AP248" s="520">
        <v>0</v>
      </c>
      <c r="AQ248" s="521"/>
      <c r="AR248" s="53"/>
      <c r="AS248" s="518"/>
      <c r="AT248" s="519"/>
      <c r="AU248" s="520">
        <v>0</v>
      </c>
      <c r="AV248" s="521"/>
      <c r="AW248" s="53"/>
      <c r="AX248" s="518"/>
      <c r="AY248" s="519"/>
      <c r="AZ248" s="520">
        <v>0</v>
      </c>
      <c r="BA248" s="521"/>
      <c r="BB248" s="53"/>
      <c r="BC248" s="518"/>
      <c r="BD248" s="519"/>
      <c r="BE248" s="520">
        <v>0</v>
      </c>
      <c r="BF248" s="521"/>
      <c r="BG248" s="53"/>
      <c r="BH248" s="518"/>
      <c r="BI248" s="519"/>
      <c r="BJ248" s="520">
        <v>0</v>
      </c>
      <c r="BK248" s="521"/>
      <c r="BL248" s="53"/>
      <c r="BM248" s="518"/>
      <c r="BN248" s="519"/>
      <c r="BO248" s="520">
        <v>0</v>
      </c>
      <c r="BP248" s="521"/>
      <c r="BQ248" s="53"/>
      <c r="BR248" s="518"/>
      <c r="BS248" s="519"/>
      <c r="BT248" s="520">
        <f>SUM(L248:BO248)</f>
        <v>0</v>
      </c>
      <c r="BU248" s="521"/>
      <c r="BV248" s="53"/>
      <c r="BW248" s="465"/>
      <c r="BZ248" s="410"/>
      <c r="CA248" s="410"/>
    </row>
    <row r="249" spans="1:79" ht="12.75" hidden="1" customHeight="1" x14ac:dyDescent="0.2">
      <c r="A249" s="377"/>
      <c r="B249" s="377"/>
      <c r="D249" s="465" t="s">
        <v>380</v>
      </c>
      <c r="F249" s="417"/>
      <c r="G249" s="53">
        <v>0</v>
      </c>
      <c r="H249" s="52"/>
      <c r="I249" s="53"/>
      <c r="J249" s="518"/>
      <c r="K249" s="518"/>
      <c r="L249" s="53">
        <v>0</v>
      </c>
      <c r="M249" s="52"/>
      <c r="N249" s="53"/>
      <c r="O249" s="518"/>
      <c r="P249" s="518"/>
      <c r="Q249" s="53">
        <v>0</v>
      </c>
      <c r="R249" s="52"/>
      <c r="S249" s="53"/>
      <c r="T249" s="518"/>
      <c r="U249" s="518"/>
      <c r="V249" s="53">
        <v>0</v>
      </c>
      <c r="W249" s="52"/>
      <c r="X249" s="53"/>
      <c r="Y249" s="518"/>
      <c r="Z249" s="518"/>
      <c r="AA249" s="53">
        <v>0</v>
      </c>
      <c r="AB249" s="52"/>
      <c r="AC249" s="53"/>
      <c r="AD249" s="518"/>
      <c r="AE249" s="518"/>
      <c r="AF249" s="53">
        <v>0</v>
      </c>
      <c r="AG249" s="52"/>
      <c r="AH249" s="53"/>
      <c r="AI249" s="518"/>
      <c r="AJ249" s="518"/>
      <c r="AK249" s="53">
        <v>0</v>
      </c>
      <c r="AL249" s="52"/>
      <c r="AM249" s="53"/>
      <c r="AN249" s="518"/>
      <c r="AO249" s="518"/>
      <c r="AP249" s="53">
        <v>0</v>
      </c>
      <c r="AQ249" s="52"/>
      <c r="AR249" s="53"/>
      <c r="AS249" s="518"/>
      <c r="AT249" s="518"/>
      <c r="AU249" s="53">
        <v>0</v>
      </c>
      <c r="AV249" s="52"/>
      <c r="AW249" s="53"/>
      <c r="AX249" s="518"/>
      <c r="AY249" s="518"/>
      <c r="AZ249" s="53">
        <v>0</v>
      </c>
      <c r="BA249" s="52"/>
      <c r="BB249" s="53"/>
      <c r="BC249" s="518"/>
      <c r="BD249" s="518"/>
      <c r="BE249" s="53">
        <v>0</v>
      </c>
      <c r="BF249" s="52"/>
      <c r="BG249" s="53"/>
      <c r="BH249" s="518"/>
      <c r="BI249" s="518"/>
      <c r="BJ249" s="53">
        <v>0</v>
      </c>
      <c r="BK249" s="52"/>
      <c r="BL249" s="53"/>
      <c r="BM249" s="518"/>
      <c r="BN249" s="518"/>
      <c r="BO249" s="53">
        <v>0</v>
      </c>
      <c r="BP249" s="52"/>
      <c r="BQ249" s="53"/>
      <c r="BR249" s="518"/>
      <c r="BS249" s="518"/>
      <c r="BT249" s="53">
        <f>SUM(L249:BO249)</f>
        <v>0</v>
      </c>
      <c r="BU249" s="52"/>
      <c r="BV249" s="53"/>
      <c r="BW249" s="465"/>
      <c r="BZ249" s="410"/>
      <c r="CA249" s="410"/>
    </row>
    <row r="250" spans="1:79" ht="12.75" hidden="1" customHeight="1" x14ac:dyDescent="0.2">
      <c r="A250" s="377"/>
      <c r="B250" s="377"/>
      <c r="D250" s="465" t="s">
        <v>388</v>
      </c>
      <c r="F250" s="478"/>
      <c r="G250" s="102">
        <v>0</v>
      </c>
      <c r="H250" s="101"/>
      <c r="I250" s="53"/>
      <c r="J250" s="518"/>
      <c r="K250" s="522"/>
      <c r="L250" s="102">
        <v>0</v>
      </c>
      <c r="M250" s="101"/>
      <c r="N250" s="53"/>
      <c r="O250" s="518"/>
      <c r="P250" s="522"/>
      <c r="Q250" s="102">
        <v>0</v>
      </c>
      <c r="R250" s="101"/>
      <c r="S250" s="53"/>
      <c r="T250" s="518"/>
      <c r="U250" s="522"/>
      <c r="V250" s="102">
        <v>0</v>
      </c>
      <c r="W250" s="101"/>
      <c r="X250" s="53"/>
      <c r="Y250" s="518"/>
      <c r="Z250" s="522"/>
      <c r="AA250" s="102">
        <v>0</v>
      </c>
      <c r="AB250" s="101"/>
      <c r="AC250" s="53"/>
      <c r="AD250" s="518"/>
      <c r="AE250" s="522"/>
      <c r="AF250" s="102">
        <v>0</v>
      </c>
      <c r="AG250" s="101"/>
      <c r="AH250" s="53"/>
      <c r="AI250" s="518"/>
      <c r="AJ250" s="522"/>
      <c r="AK250" s="102">
        <v>0</v>
      </c>
      <c r="AL250" s="101"/>
      <c r="AM250" s="53"/>
      <c r="AN250" s="518"/>
      <c r="AO250" s="522"/>
      <c r="AP250" s="102">
        <v>0</v>
      </c>
      <c r="AQ250" s="101"/>
      <c r="AR250" s="53"/>
      <c r="AS250" s="518"/>
      <c r="AT250" s="522"/>
      <c r="AU250" s="102">
        <v>0</v>
      </c>
      <c r="AV250" s="101"/>
      <c r="AW250" s="53"/>
      <c r="AX250" s="518"/>
      <c r="AY250" s="522"/>
      <c r="AZ250" s="102">
        <v>0</v>
      </c>
      <c r="BA250" s="101"/>
      <c r="BB250" s="53"/>
      <c r="BC250" s="518"/>
      <c r="BD250" s="522"/>
      <c r="BE250" s="102">
        <v>0</v>
      </c>
      <c r="BF250" s="101"/>
      <c r="BG250" s="53"/>
      <c r="BH250" s="518"/>
      <c r="BI250" s="522"/>
      <c r="BJ250" s="102">
        <v>0</v>
      </c>
      <c r="BK250" s="101"/>
      <c r="BL250" s="53"/>
      <c r="BM250" s="518"/>
      <c r="BN250" s="522"/>
      <c r="BO250" s="102">
        <v>0</v>
      </c>
      <c r="BP250" s="101"/>
      <c r="BQ250" s="53"/>
      <c r="BR250" s="518"/>
      <c r="BS250" s="522"/>
      <c r="BT250" s="102">
        <f>SUM(L250:BO250)</f>
        <v>0</v>
      </c>
      <c r="BU250" s="101"/>
      <c r="BV250" s="53"/>
      <c r="BW250" s="465"/>
      <c r="BZ250" s="410"/>
      <c r="CA250" s="410"/>
    </row>
    <row r="251" spans="1:79" ht="12.75" hidden="1" customHeight="1" x14ac:dyDescent="0.2">
      <c r="A251" s="377"/>
      <c r="B251" s="377"/>
      <c r="D251" s="465"/>
      <c r="E251" s="572"/>
      <c r="F251" s="259"/>
      <c r="G251" s="53"/>
      <c r="H251" s="53"/>
      <c r="I251" s="53"/>
      <c r="J251" s="518"/>
      <c r="K251" s="259"/>
      <c r="L251" s="53"/>
      <c r="M251" s="53"/>
      <c r="N251" s="53"/>
      <c r="O251" s="518"/>
      <c r="P251" s="259"/>
      <c r="Q251" s="53"/>
      <c r="R251" s="53"/>
      <c r="S251" s="53"/>
      <c r="T251" s="518"/>
      <c r="U251" s="259"/>
      <c r="V251" s="53"/>
      <c r="W251" s="53"/>
      <c r="X251" s="53"/>
      <c r="Y251" s="518"/>
      <c r="Z251" s="259"/>
      <c r="AA251" s="53"/>
      <c r="AB251" s="53"/>
      <c r="AC251" s="53"/>
      <c r="AD251" s="518"/>
      <c r="AE251" s="259"/>
      <c r="AF251" s="53"/>
      <c r="AG251" s="53"/>
      <c r="AH251" s="53"/>
      <c r="AI251" s="518"/>
      <c r="AJ251" s="259"/>
      <c r="AK251" s="53"/>
      <c r="AL251" s="53"/>
      <c r="AM251" s="53"/>
      <c r="AN251" s="518"/>
      <c r="AO251" s="259"/>
      <c r="AP251" s="53"/>
      <c r="AQ251" s="53"/>
      <c r="AR251" s="53"/>
      <c r="AS251" s="518"/>
      <c r="AT251" s="259"/>
      <c r="AU251" s="53"/>
      <c r="AV251" s="53"/>
      <c r="AW251" s="53"/>
      <c r="AX251" s="518"/>
      <c r="AY251" s="259"/>
      <c r="AZ251" s="53"/>
      <c r="BA251" s="53"/>
      <c r="BB251" s="53"/>
      <c r="BC251" s="518"/>
      <c r="BD251" s="259"/>
      <c r="BE251" s="53"/>
      <c r="BF251" s="53"/>
      <c r="BG251" s="53"/>
      <c r="BH251" s="518"/>
      <c r="BI251" s="259"/>
      <c r="BJ251" s="53"/>
      <c r="BK251" s="53"/>
      <c r="BL251" s="53"/>
      <c r="BM251" s="518"/>
      <c r="BN251" s="259"/>
      <c r="BO251" s="53"/>
      <c r="BP251" s="53"/>
      <c r="BQ251" s="53"/>
      <c r="BR251" s="518"/>
      <c r="BS251" s="259"/>
      <c r="BT251" s="53"/>
      <c r="BU251" s="53"/>
      <c r="BV251" s="53"/>
      <c r="BW251" s="465"/>
      <c r="BZ251" s="410"/>
      <c r="CA251" s="410"/>
    </row>
    <row r="252" spans="1:79" ht="12.75" hidden="1" customHeight="1" x14ac:dyDescent="0.2">
      <c r="A252" s="377"/>
      <c r="B252" s="377"/>
      <c r="D252" s="465" t="s">
        <v>406</v>
      </c>
      <c r="E252" s="572"/>
      <c r="F252" s="259"/>
      <c r="G252" s="53">
        <v>0</v>
      </c>
      <c r="H252" s="53"/>
      <c r="I252" s="53"/>
      <c r="J252" s="518"/>
      <c r="K252" s="259"/>
      <c r="L252" s="53">
        <v>0</v>
      </c>
      <c r="M252" s="53"/>
      <c r="N252" s="53"/>
      <c r="O252" s="518"/>
      <c r="P252" s="259"/>
      <c r="Q252" s="53">
        <f>SUM(Q253:Q255)</f>
        <v>0</v>
      </c>
      <c r="R252" s="53"/>
      <c r="S252" s="53"/>
      <c r="T252" s="518"/>
      <c r="U252" s="259"/>
      <c r="V252" s="53">
        <f>SUM(V253:V255)</f>
        <v>0</v>
      </c>
      <c r="W252" s="53"/>
      <c r="X252" s="53"/>
      <c r="Y252" s="518"/>
      <c r="Z252" s="259"/>
      <c r="AA252" s="53">
        <v>0</v>
      </c>
      <c r="AB252" s="53"/>
      <c r="AC252" s="53"/>
      <c r="AD252" s="518"/>
      <c r="AE252" s="259"/>
      <c r="AF252" s="53">
        <f>SUM(AF253:AF255)</f>
        <v>0</v>
      </c>
      <c r="AG252" s="53"/>
      <c r="AH252" s="53"/>
      <c r="AI252" s="518"/>
      <c r="AJ252" s="259"/>
      <c r="AK252" s="53">
        <v>0</v>
      </c>
      <c r="AL252" s="53"/>
      <c r="AM252" s="53"/>
      <c r="AN252" s="518"/>
      <c r="AO252" s="259"/>
      <c r="AP252" s="53">
        <f>SUM(AP253:AP255)</f>
        <v>0</v>
      </c>
      <c r="AQ252" s="53"/>
      <c r="AR252" s="53"/>
      <c r="AS252" s="518"/>
      <c r="AT252" s="259"/>
      <c r="AU252" s="53">
        <v>0</v>
      </c>
      <c r="AV252" s="53"/>
      <c r="AW252" s="53"/>
      <c r="AX252" s="518"/>
      <c r="AY252" s="259"/>
      <c r="AZ252" s="53">
        <v>0</v>
      </c>
      <c r="BA252" s="53"/>
      <c r="BB252" s="53"/>
      <c r="BC252" s="518"/>
      <c r="BD252" s="259"/>
      <c r="BE252" s="53">
        <v>0</v>
      </c>
      <c r="BF252" s="53"/>
      <c r="BG252" s="53"/>
      <c r="BH252" s="518"/>
      <c r="BI252" s="259"/>
      <c r="BJ252" s="53">
        <v>0</v>
      </c>
      <c r="BK252" s="53"/>
      <c r="BL252" s="53"/>
      <c r="BM252" s="518"/>
      <c r="BN252" s="259"/>
      <c r="BO252" s="53">
        <v>0</v>
      </c>
      <c r="BP252" s="53"/>
      <c r="BQ252" s="53"/>
      <c r="BR252" s="518"/>
      <c r="BS252" s="259"/>
      <c r="BT252" s="53">
        <f>SUM(BT253:BT256)</f>
        <v>0</v>
      </c>
      <c r="BU252" s="53"/>
      <c r="BV252" s="53"/>
      <c r="BW252" s="465"/>
      <c r="BZ252" s="410"/>
      <c r="CA252" s="410"/>
    </row>
    <row r="253" spans="1:79" ht="12.75" hidden="1" customHeight="1" x14ac:dyDescent="0.2">
      <c r="A253" s="377"/>
      <c r="B253" s="377"/>
      <c r="D253" s="465" t="s">
        <v>378</v>
      </c>
      <c r="E253" s="572"/>
      <c r="F253" s="573"/>
      <c r="G253" s="520">
        <v>0</v>
      </c>
      <c r="H253" s="521"/>
      <c r="I253" s="53"/>
      <c r="J253" s="518"/>
      <c r="K253" s="573"/>
      <c r="L253" s="520">
        <v>0</v>
      </c>
      <c r="M253" s="521"/>
      <c r="N253" s="53"/>
      <c r="O253" s="518"/>
      <c r="P253" s="519"/>
      <c r="Q253" s="520">
        <v>0</v>
      </c>
      <c r="R253" s="521"/>
      <c r="S253" s="53"/>
      <c r="T253" s="518"/>
      <c r="U253" s="519"/>
      <c r="V253" s="520">
        <v>0</v>
      </c>
      <c r="W253" s="521"/>
      <c r="X253" s="53"/>
      <c r="Y253" s="518"/>
      <c r="Z253" s="519"/>
      <c r="AA253" s="520">
        <v>0</v>
      </c>
      <c r="AB253" s="521"/>
      <c r="AC253" s="53"/>
      <c r="AD253" s="518"/>
      <c r="AE253" s="519"/>
      <c r="AF253" s="520">
        <v>0</v>
      </c>
      <c r="AG253" s="521"/>
      <c r="AH253" s="53"/>
      <c r="AI253" s="518"/>
      <c r="AJ253" s="519"/>
      <c r="AK253" s="520">
        <v>0</v>
      </c>
      <c r="AL253" s="521"/>
      <c r="AM253" s="53"/>
      <c r="AN253" s="518"/>
      <c r="AO253" s="519"/>
      <c r="AP253" s="520">
        <v>0</v>
      </c>
      <c r="AQ253" s="521"/>
      <c r="AR253" s="53"/>
      <c r="AS253" s="518"/>
      <c r="AT253" s="519"/>
      <c r="AU253" s="520">
        <v>0</v>
      </c>
      <c r="AV253" s="521"/>
      <c r="AW253" s="53"/>
      <c r="AX253" s="518"/>
      <c r="AY253" s="519"/>
      <c r="AZ253" s="520">
        <v>0</v>
      </c>
      <c r="BA253" s="521"/>
      <c r="BB253" s="53"/>
      <c r="BC253" s="518"/>
      <c r="BD253" s="519"/>
      <c r="BE253" s="520">
        <v>0</v>
      </c>
      <c r="BF253" s="521"/>
      <c r="BG253" s="53"/>
      <c r="BH253" s="518"/>
      <c r="BI253" s="519"/>
      <c r="BJ253" s="520">
        <v>0</v>
      </c>
      <c r="BK253" s="521"/>
      <c r="BL253" s="53"/>
      <c r="BM253" s="518"/>
      <c r="BN253" s="519"/>
      <c r="BO253" s="520">
        <v>0</v>
      </c>
      <c r="BP253" s="521"/>
      <c r="BQ253" s="53"/>
      <c r="BR253" s="518"/>
      <c r="BS253" s="519"/>
      <c r="BT253" s="520">
        <f>SUM(L253:BO253)</f>
        <v>0</v>
      </c>
      <c r="BU253" s="521"/>
      <c r="BV253" s="53"/>
      <c r="BW253" s="465"/>
      <c r="BZ253" s="410"/>
      <c r="CA253" s="410"/>
    </row>
    <row r="254" spans="1:79" ht="12.75" hidden="1" customHeight="1" x14ac:dyDescent="0.2">
      <c r="A254" s="377"/>
      <c r="B254" s="377"/>
      <c r="D254" s="465" t="s">
        <v>380</v>
      </c>
      <c r="E254" s="572"/>
      <c r="F254" s="563"/>
      <c r="G254" s="53">
        <v>0</v>
      </c>
      <c r="H254" s="52"/>
      <c r="I254" s="53"/>
      <c r="J254" s="518"/>
      <c r="K254" s="563"/>
      <c r="L254" s="53">
        <v>0</v>
      </c>
      <c r="M254" s="52"/>
      <c r="N254" s="53"/>
      <c r="O254" s="518"/>
      <c r="P254" s="518"/>
      <c r="Q254" s="53">
        <v>0</v>
      </c>
      <c r="R254" s="52"/>
      <c r="S254" s="53"/>
      <c r="T254" s="518"/>
      <c r="U254" s="518"/>
      <c r="V254" s="53">
        <v>0</v>
      </c>
      <c r="W254" s="52"/>
      <c r="X254" s="53"/>
      <c r="Y254" s="518"/>
      <c r="Z254" s="518"/>
      <c r="AA254" s="53">
        <v>0</v>
      </c>
      <c r="AB254" s="52"/>
      <c r="AC254" s="53"/>
      <c r="AD254" s="518"/>
      <c r="AE254" s="518"/>
      <c r="AF254" s="53">
        <v>0</v>
      </c>
      <c r="AG254" s="52"/>
      <c r="AH254" s="53"/>
      <c r="AI254" s="518"/>
      <c r="AJ254" s="518"/>
      <c r="AK254" s="53">
        <v>0</v>
      </c>
      <c r="AL254" s="52"/>
      <c r="AM254" s="53"/>
      <c r="AN254" s="518"/>
      <c r="AO254" s="518"/>
      <c r="AP254" s="53">
        <v>0</v>
      </c>
      <c r="AQ254" s="52"/>
      <c r="AR254" s="53"/>
      <c r="AS254" s="518"/>
      <c r="AT254" s="518"/>
      <c r="AU254" s="53">
        <v>0</v>
      </c>
      <c r="AV254" s="52"/>
      <c r="AW254" s="53"/>
      <c r="AX254" s="518"/>
      <c r="AY254" s="518"/>
      <c r="AZ254" s="53">
        <v>0</v>
      </c>
      <c r="BA254" s="52"/>
      <c r="BB254" s="53"/>
      <c r="BC254" s="518"/>
      <c r="BD254" s="518"/>
      <c r="BE254" s="53">
        <v>0</v>
      </c>
      <c r="BF254" s="52"/>
      <c r="BG254" s="53"/>
      <c r="BH254" s="518"/>
      <c r="BI254" s="518"/>
      <c r="BJ254" s="53">
        <v>0</v>
      </c>
      <c r="BK254" s="52"/>
      <c r="BL254" s="53"/>
      <c r="BM254" s="518"/>
      <c r="BN254" s="518"/>
      <c r="BO254" s="53">
        <v>0</v>
      </c>
      <c r="BP254" s="52"/>
      <c r="BQ254" s="53"/>
      <c r="BR254" s="518"/>
      <c r="BS254" s="518"/>
      <c r="BT254" s="53">
        <f>SUM(L254:BO254)</f>
        <v>0</v>
      </c>
      <c r="BU254" s="52"/>
      <c r="BV254" s="53"/>
      <c r="BW254" s="465"/>
      <c r="BZ254" s="410"/>
      <c r="CA254" s="410"/>
    </row>
    <row r="255" spans="1:79" ht="12.75" hidden="1" customHeight="1" x14ac:dyDescent="0.2">
      <c r="A255" s="377"/>
      <c r="B255" s="377"/>
      <c r="D255" s="465" t="s">
        <v>388</v>
      </c>
      <c r="E255" s="572"/>
      <c r="F255" s="564"/>
      <c r="G255" s="102">
        <v>0</v>
      </c>
      <c r="H255" s="101"/>
      <c r="I255" s="53"/>
      <c r="J255" s="518"/>
      <c r="K255" s="564"/>
      <c r="L255" s="102">
        <v>0</v>
      </c>
      <c r="M255" s="101"/>
      <c r="N255" s="53"/>
      <c r="O255" s="518"/>
      <c r="P255" s="522"/>
      <c r="Q255" s="102">
        <v>0</v>
      </c>
      <c r="R255" s="101"/>
      <c r="S255" s="53"/>
      <c r="T255" s="518"/>
      <c r="U255" s="522"/>
      <c r="V255" s="102">
        <v>0</v>
      </c>
      <c r="W255" s="101"/>
      <c r="X255" s="53"/>
      <c r="Y255" s="518"/>
      <c r="Z255" s="522"/>
      <c r="AA255" s="102">
        <v>0</v>
      </c>
      <c r="AB255" s="101"/>
      <c r="AC255" s="53"/>
      <c r="AD255" s="518"/>
      <c r="AE255" s="522"/>
      <c r="AF255" s="102">
        <v>0</v>
      </c>
      <c r="AG255" s="101"/>
      <c r="AH255" s="53"/>
      <c r="AI255" s="518"/>
      <c r="AJ255" s="522"/>
      <c r="AK255" s="102">
        <v>0</v>
      </c>
      <c r="AL255" s="101"/>
      <c r="AM255" s="53"/>
      <c r="AN255" s="518"/>
      <c r="AO255" s="522"/>
      <c r="AP255" s="102">
        <v>0</v>
      </c>
      <c r="AQ255" s="101"/>
      <c r="AR255" s="53"/>
      <c r="AS255" s="518"/>
      <c r="AT255" s="522"/>
      <c r="AU255" s="102">
        <v>0</v>
      </c>
      <c r="AV255" s="101"/>
      <c r="AW255" s="53"/>
      <c r="AX255" s="518"/>
      <c r="AY255" s="522"/>
      <c r="AZ255" s="102">
        <v>0</v>
      </c>
      <c r="BA255" s="101"/>
      <c r="BB255" s="53"/>
      <c r="BC255" s="518"/>
      <c r="BD255" s="522"/>
      <c r="BE255" s="102">
        <v>0</v>
      </c>
      <c r="BF255" s="101"/>
      <c r="BG255" s="53"/>
      <c r="BH255" s="518"/>
      <c r="BI255" s="522"/>
      <c r="BJ255" s="102">
        <v>0</v>
      </c>
      <c r="BK255" s="101"/>
      <c r="BL255" s="53"/>
      <c r="BM255" s="518"/>
      <c r="BN255" s="522"/>
      <c r="BO255" s="102">
        <v>0</v>
      </c>
      <c r="BP255" s="101"/>
      <c r="BQ255" s="53"/>
      <c r="BR255" s="518"/>
      <c r="BS255" s="522"/>
      <c r="BT255" s="102">
        <f>SUM(L255:BO255)</f>
        <v>0</v>
      </c>
      <c r="BU255" s="101"/>
      <c r="BV255" s="53"/>
      <c r="BW255" s="465"/>
      <c r="BZ255" s="410"/>
      <c r="CA255" s="410"/>
    </row>
    <row r="256" spans="1:79" ht="12.75" hidden="1" customHeight="1" x14ac:dyDescent="0.2">
      <c r="A256" s="377"/>
      <c r="B256" s="377"/>
      <c r="D256" s="465" t="s">
        <v>382</v>
      </c>
      <c r="E256" s="572"/>
      <c r="F256" s="575"/>
      <c r="G256" s="102">
        <v>0</v>
      </c>
      <c r="H256" s="101"/>
      <c r="I256" s="53"/>
      <c r="J256" s="518"/>
      <c r="K256" s="575"/>
      <c r="L256" s="102">
        <v>0</v>
      </c>
      <c r="M256" s="101"/>
      <c r="N256" s="53"/>
      <c r="O256" s="518"/>
      <c r="P256" s="575"/>
      <c r="Q256" s="102">
        <v>0</v>
      </c>
      <c r="R256" s="101"/>
      <c r="S256" s="53"/>
      <c r="T256" s="518"/>
      <c r="U256" s="575"/>
      <c r="V256" s="102">
        <v>0</v>
      </c>
      <c r="W256" s="101"/>
      <c r="X256" s="53"/>
      <c r="Y256" s="518"/>
      <c r="Z256" s="575"/>
      <c r="AA256" s="102">
        <v>0</v>
      </c>
      <c r="AB256" s="101"/>
      <c r="AC256" s="53"/>
      <c r="AD256" s="518"/>
      <c r="AE256" s="575"/>
      <c r="AF256" s="102">
        <v>0</v>
      </c>
      <c r="AG256" s="101"/>
      <c r="AH256" s="53"/>
      <c r="AI256" s="518"/>
      <c r="AJ256" s="575"/>
      <c r="AK256" s="102">
        <v>0</v>
      </c>
      <c r="AL256" s="101"/>
      <c r="AM256" s="53"/>
      <c r="AN256" s="518"/>
      <c r="AO256" s="575"/>
      <c r="AP256" s="102">
        <v>0</v>
      </c>
      <c r="AQ256" s="101"/>
      <c r="AR256" s="53"/>
      <c r="AS256" s="518"/>
      <c r="AT256" s="575"/>
      <c r="AU256" s="102">
        <v>0</v>
      </c>
      <c r="AV256" s="101"/>
      <c r="AW256" s="53"/>
      <c r="AX256" s="518"/>
      <c r="AY256" s="575"/>
      <c r="AZ256" s="102">
        <v>0</v>
      </c>
      <c r="BA256" s="101"/>
      <c r="BB256" s="53"/>
      <c r="BC256" s="518"/>
      <c r="BD256" s="575"/>
      <c r="BE256" s="102">
        <v>0</v>
      </c>
      <c r="BF256" s="101"/>
      <c r="BG256" s="53"/>
      <c r="BH256" s="518"/>
      <c r="BI256" s="575"/>
      <c r="BJ256" s="102">
        <v>0</v>
      </c>
      <c r="BK256" s="101"/>
      <c r="BL256" s="53"/>
      <c r="BM256" s="518"/>
      <c r="BN256" s="575"/>
      <c r="BO256" s="102">
        <v>0</v>
      </c>
      <c r="BP256" s="101"/>
      <c r="BQ256" s="53"/>
      <c r="BR256" s="518"/>
      <c r="BS256" s="575"/>
      <c r="BT256" s="102">
        <f>SUM(L256:BO256)</f>
        <v>0</v>
      </c>
      <c r="BU256" s="101"/>
      <c r="BV256" s="53"/>
      <c r="BW256" s="465"/>
      <c r="BZ256" s="410"/>
      <c r="CA256" s="410"/>
    </row>
    <row r="257" spans="1:79" ht="12.75" hidden="1" customHeight="1" x14ac:dyDescent="0.2">
      <c r="A257" s="377"/>
      <c r="B257" s="377"/>
      <c r="D257" s="465"/>
      <c r="E257" s="572"/>
      <c r="F257" s="259"/>
      <c r="G257" s="53"/>
      <c r="H257" s="53"/>
      <c r="I257" s="53"/>
      <c r="J257" s="518"/>
      <c r="K257" s="259"/>
      <c r="L257" s="53"/>
      <c r="M257" s="53"/>
      <c r="N257" s="53"/>
      <c r="O257" s="518"/>
      <c r="P257" s="259"/>
      <c r="Q257" s="53"/>
      <c r="R257" s="53"/>
      <c r="S257" s="53"/>
      <c r="T257" s="518"/>
      <c r="U257" s="259"/>
      <c r="V257" s="53"/>
      <c r="W257" s="53"/>
      <c r="X257" s="53"/>
      <c r="Y257" s="518"/>
      <c r="Z257" s="259"/>
      <c r="AA257" s="53"/>
      <c r="AB257" s="53"/>
      <c r="AC257" s="53"/>
      <c r="AD257" s="518"/>
      <c r="AE257" s="259"/>
      <c r="AF257" s="53"/>
      <c r="AG257" s="53"/>
      <c r="AH257" s="53"/>
      <c r="AI257" s="518"/>
      <c r="AJ257" s="259"/>
      <c r="AK257" s="53"/>
      <c r="AL257" s="53"/>
      <c r="AM257" s="53"/>
      <c r="AN257" s="518"/>
      <c r="AO257" s="259"/>
      <c r="AP257" s="53"/>
      <c r="AQ257" s="53"/>
      <c r="AR257" s="53"/>
      <c r="AS257" s="518"/>
      <c r="AT257" s="259"/>
      <c r="AU257" s="53"/>
      <c r="AV257" s="53"/>
      <c r="AW257" s="53"/>
      <c r="AX257" s="518"/>
      <c r="AY257" s="259"/>
      <c r="AZ257" s="53"/>
      <c r="BA257" s="53"/>
      <c r="BB257" s="53"/>
      <c r="BC257" s="518"/>
      <c r="BD257" s="259"/>
      <c r="BE257" s="53"/>
      <c r="BF257" s="53"/>
      <c r="BG257" s="53"/>
      <c r="BH257" s="518"/>
      <c r="BI257" s="259"/>
      <c r="BJ257" s="53"/>
      <c r="BK257" s="53"/>
      <c r="BL257" s="53"/>
      <c r="BM257" s="518"/>
      <c r="BN257" s="259"/>
      <c r="BO257" s="53"/>
      <c r="BP257" s="53"/>
      <c r="BQ257" s="53"/>
      <c r="BR257" s="518"/>
      <c r="BS257" s="259"/>
      <c r="BT257" s="53"/>
      <c r="BU257" s="53"/>
      <c r="BV257" s="53"/>
      <c r="BW257" s="465"/>
      <c r="BZ257" s="410"/>
      <c r="CA257" s="410"/>
    </row>
    <row r="258" spans="1:79" ht="12.75" hidden="1" customHeight="1" x14ac:dyDescent="0.2">
      <c r="A258" s="377"/>
      <c r="B258" s="377"/>
      <c r="D258" s="465" t="s">
        <v>405</v>
      </c>
      <c r="E258" s="572"/>
      <c r="F258" s="259"/>
      <c r="G258" s="53">
        <v>0</v>
      </c>
      <c r="H258" s="53"/>
      <c r="I258" s="53"/>
      <c r="J258" s="518"/>
      <c r="K258" s="259"/>
      <c r="L258" s="53">
        <f>SUM(L259:L262)</f>
        <v>0</v>
      </c>
      <c r="M258" s="53"/>
      <c r="N258" s="53"/>
      <c r="O258" s="518"/>
      <c r="P258" s="259"/>
      <c r="Q258" s="53">
        <f>SUM(Q259:Q262)</f>
        <v>0</v>
      </c>
      <c r="R258" s="53"/>
      <c r="S258" s="53"/>
      <c r="T258" s="518"/>
      <c r="U258" s="259"/>
      <c r="V258" s="53">
        <f>SUM(V259:V262)</f>
        <v>0</v>
      </c>
      <c r="W258" s="53"/>
      <c r="X258" s="53"/>
      <c r="Y258" s="518"/>
      <c r="Z258" s="259"/>
      <c r="AA258" s="53">
        <f>SUM(AA259:AA262)</f>
        <v>0</v>
      </c>
      <c r="AB258" s="53"/>
      <c r="AC258" s="53"/>
      <c r="AD258" s="518"/>
      <c r="AE258" s="259"/>
      <c r="AF258" s="53">
        <f>SUM(AF259:AF262)</f>
        <v>0</v>
      </c>
      <c r="AG258" s="53"/>
      <c r="AH258" s="53"/>
      <c r="AI258" s="518"/>
      <c r="AJ258" s="259"/>
      <c r="AK258" s="53">
        <f>SUM(AK259:AK262)</f>
        <v>0</v>
      </c>
      <c r="AL258" s="53"/>
      <c r="AM258" s="53"/>
      <c r="AN258" s="518"/>
      <c r="AO258" s="259"/>
      <c r="AP258" s="53">
        <f>SUM(AP259:AP262)</f>
        <v>0</v>
      </c>
      <c r="AQ258" s="53"/>
      <c r="AR258" s="53"/>
      <c r="AS258" s="518"/>
      <c r="AT258" s="259"/>
      <c r="AU258" s="53">
        <f>SUM(AU259:AU262)</f>
        <v>0</v>
      </c>
      <c r="AV258" s="53"/>
      <c r="AW258" s="53"/>
      <c r="AX258" s="518"/>
      <c r="AY258" s="259"/>
      <c r="AZ258" s="53">
        <f>SUM(AZ259:AZ262)</f>
        <v>0</v>
      </c>
      <c r="BA258" s="53"/>
      <c r="BB258" s="53"/>
      <c r="BC258" s="518"/>
      <c r="BD258" s="259"/>
      <c r="BE258" s="53">
        <f>SUM(BE259:BE262)</f>
        <v>0</v>
      </c>
      <c r="BF258" s="53"/>
      <c r="BG258" s="53"/>
      <c r="BH258" s="518"/>
      <c r="BI258" s="259"/>
      <c r="BJ258" s="53">
        <f>SUM(BJ259:BJ262)</f>
        <v>0</v>
      </c>
      <c r="BK258" s="53"/>
      <c r="BL258" s="53"/>
      <c r="BM258" s="518"/>
      <c r="BN258" s="259"/>
      <c r="BO258" s="53">
        <f>SUM(BO259:BO262)</f>
        <v>0</v>
      </c>
      <c r="BP258" s="53"/>
      <c r="BQ258" s="53"/>
      <c r="BR258" s="518"/>
      <c r="BS258" s="259"/>
      <c r="BT258" s="53">
        <f>SUM(BT259:BT262)</f>
        <v>0</v>
      </c>
      <c r="BU258" s="53"/>
      <c r="BV258" s="53"/>
      <c r="BW258" s="465"/>
      <c r="BZ258" s="410"/>
      <c r="CA258" s="410"/>
    </row>
    <row r="259" spans="1:79" ht="12.75" hidden="1" customHeight="1" x14ac:dyDescent="0.2">
      <c r="A259" s="377"/>
      <c r="B259" s="377"/>
      <c r="D259" s="465" t="s">
        <v>378</v>
      </c>
      <c r="F259" s="469"/>
      <c r="G259" s="520">
        <v>0</v>
      </c>
      <c r="H259" s="521"/>
      <c r="I259" s="53"/>
      <c r="J259" s="518"/>
      <c r="K259" s="519"/>
      <c r="L259" s="520">
        <v>0</v>
      </c>
      <c r="M259" s="521"/>
      <c r="N259" s="53"/>
      <c r="O259" s="518"/>
      <c r="P259" s="519"/>
      <c r="Q259" s="520">
        <v>0</v>
      </c>
      <c r="R259" s="521"/>
      <c r="S259" s="53"/>
      <c r="T259" s="518"/>
      <c r="U259" s="519"/>
      <c r="V259" s="520">
        <v>0</v>
      </c>
      <c r="W259" s="521"/>
      <c r="X259" s="53"/>
      <c r="Y259" s="518"/>
      <c r="Z259" s="519"/>
      <c r="AA259" s="520">
        <v>0</v>
      </c>
      <c r="AB259" s="521"/>
      <c r="AC259" s="53"/>
      <c r="AD259" s="518"/>
      <c r="AE259" s="519"/>
      <c r="AF259" s="520">
        <v>0</v>
      </c>
      <c r="AG259" s="521"/>
      <c r="AH259" s="53"/>
      <c r="AI259" s="518"/>
      <c r="AJ259" s="519"/>
      <c r="AK259" s="520">
        <v>0</v>
      </c>
      <c r="AL259" s="521"/>
      <c r="AM259" s="53"/>
      <c r="AN259" s="518"/>
      <c r="AO259" s="519"/>
      <c r="AP259" s="520">
        <v>0</v>
      </c>
      <c r="AQ259" s="521"/>
      <c r="AR259" s="53"/>
      <c r="AS259" s="518"/>
      <c r="AT259" s="519"/>
      <c r="AU259" s="520">
        <v>0</v>
      </c>
      <c r="AV259" s="521"/>
      <c r="AW259" s="53"/>
      <c r="AX259" s="518"/>
      <c r="AY259" s="519"/>
      <c r="AZ259" s="520">
        <v>0</v>
      </c>
      <c r="BA259" s="521"/>
      <c r="BB259" s="53"/>
      <c r="BC259" s="518"/>
      <c r="BD259" s="519"/>
      <c r="BE259" s="520">
        <v>0</v>
      </c>
      <c r="BF259" s="521"/>
      <c r="BG259" s="53"/>
      <c r="BH259" s="518"/>
      <c r="BI259" s="519"/>
      <c r="BJ259" s="520">
        <v>0</v>
      </c>
      <c r="BK259" s="521"/>
      <c r="BL259" s="53"/>
      <c r="BM259" s="518"/>
      <c r="BN259" s="519"/>
      <c r="BO259" s="520">
        <v>0</v>
      </c>
      <c r="BP259" s="521"/>
      <c r="BQ259" s="53"/>
      <c r="BR259" s="518"/>
      <c r="BS259" s="519"/>
      <c r="BT259" s="520">
        <f>SUM(L259:BO259)</f>
        <v>0</v>
      </c>
      <c r="BU259" s="521"/>
      <c r="BV259" s="53"/>
      <c r="BW259" s="465"/>
      <c r="BZ259" s="410"/>
      <c r="CA259" s="410"/>
    </row>
    <row r="260" spans="1:79" ht="12.75" hidden="1" customHeight="1" x14ac:dyDescent="0.2">
      <c r="A260" s="377"/>
      <c r="B260" s="377"/>
      <c r="D260" s="465" t="s">
        <v>380</v>
      </c>
      <c r="E260" s="572"/>
      <c r="F260" s="417"/>
      <c r="G260" s="53">
        <v>0</v>
      </c>
      <c r="H260" s="52"/>
      <c r="I260" s="53"/>
      <c r="J260" s="518"/>
      <c r="K260" s="518"/>
      <c r="L260" s="53">
        <v>0</v>
      </c>
      <c r="M260" s="52"/>
      <c r="N260" s="53"/>
      <c r="O260" s="518"/>
      <c r="P260" s="518"/>
      <c r="Q260" s="53">
        <v>0</v>
      </c>
      <c r="R260" s="52"/>
      <c r="S260" s="53"/>
      <c r="T260" s="518"/>
      <c r="U260" s="518"/>
      <c r="V260" s="53">
        <v>0</v>
      </c>
      <c r="W260" s="52"/>
      <c r="X260" s="53"/>
      <c r="Y260" s="518"/>
      <c r="Z260" s="518"/>
      <c r="AA260" s="53">
        <v>0</v>
      </c>
      <c r="AB260" s="52"/>
      <c r="AC260" s="53"/>
      <c r="AD260" s="518"/>
      <c r="AE260" s="518"/>
      <c r="AF260" s="53">
        <v>0</v>
      </c>
      <c r="AG260" s="52"/>
      <c r="AH260" s="53"/>
      <c r="AI260" s="518"/>
      <c r="AJ260" s="518"/>
      <c r="AK260" s="53">
        <v>0</v>
      </c>
      <c r="AL260" s="52"/>
      <c r="AM260" s="53"/>
      <c r="AN260" s="518"/>
      <c r="AO260" s="518"/>
      <c r="AP260" s="53">
        <v>0</v>
      </c>
      <c r="AQ260" s="52"/>
      <c r="AR260" s="53"/>
      <c r="AS260" s="518"/>
      <c r="AT260" s="518"/>
      <c r="AU260" s="53">
        <v>0</v>
      </c>
      <c r="AV260" s="52"/>
      <c r="AW260" s="53"/>
      <c r="AX260" s="518"/>
      <c r="AY260" s="518"/>
      <c r="AZ260" s="53">
        <v>0</v>
      </c>
      <c r="BA260" s="52"/>
      <c r="BB260" s="53"/>
      <c r="BC260" s="518"/>
      <c r="BD260" s="518"/>
      <c r="BE260" s="53">
        <v>0</v>
      </c>
      <c r="BF260" s="52"/>
      <c r="BG260" s="53"/>
      <c r="BH260" s="518"/>
      <c r="BI260" s="518"/>
      <c r="BJ260" s="53">
        <v>0</v>
      </c>
      <c r="BK260" s="52"/>
      <c r="BL260" s="53"/>
      <c r="BM260" s="518"/>
      <c r="BN260" s="518"/>
      <c r="BO260" s="53">
        <v>0</v>
      </c>
      <c r="BP260" s="52"/>
      <c r="BQ260" s="53"/>
      <c r="BR260" s="518"/>
      <c r="BS260" s="518"/>
      <c r="BT260" s="53">
        <f>SUM(L260:BO260)</f>
        <v>0</v>
      </c>
      <c r="BU260" s="52"/>
      <c r="BV260" s="53"/>
      <c r="BW260" s="465"/>
      <c r="BZ260" s="410"/>
      <c r="CA260" s="410"/>
    </row>
    <row r="261" spans="1:79" ht="12.75" hidden="1" customHeight="1" x14ac:dyDescent="0.2">
      <c r="A261" s="377"/>
      <c r="B261" s="377"/>
      <c r="D261" s="465" t="s">
        <v>388</v>
      </c>
      <c r="E261" s="572"/>
      <c r="F261" s="478"/>
      <c r="G261" s="102">
        <v>0</v>
      </c>
      <c r="H261" s="101"/>
      <c r="I261" s="53"/>
      <c r="J261" s="518"/>
      <c r="K261" s="522"/>
      <c r="L261" s="102">
        <v>0</v>
      </c>
      <c r="M261" s="101"/>
      <c r="N261" s="53"/>
      <c r="O261" s="518"/>
      <c r="P261" s="522"/>
      <c r="Q261" s="102">
        <v>0</v>
      </c>
      <c r="R261" s="101"/>
      <c r="S261" s="53"/>
      <c r="T261" s="518"/>
      <c r="U261" s="522"/>
      <c r="V261" s="102">
        <v>0</v>
      </c>
      <c r="W261" s="101"/>
      <c r="X261" s="53"/>
      <c r="Y261" s="518"/>
      <c r="Z261" s="522"/>
      <c r="AA261" s="102">
        <v>0</v>
      </c>
      <c r="AB261" s="101"/>
      <c r="AC261" s="53"/>
      <c r="AD261" s="518"/>
      <c r="AE261" s="522"/>
      <c r="AF261" s="102">
        <v>0</v>
      </c>
      <c r="AG261" s="101"/>
      <c r="AH261" s="53"/>
      <c r="AI261" s="518"/>
      <c r="AJ261" s="522"/>
      <c r="AK261" s="102">
        <v>0</v>
      </c>
      <c r="AL261" s="101"/>
      <c r="AM261" s="53"/>
      <c r="AN261" s="518"/>
      <c r="AO261" s="522"/>
      <c r="AP261" s="102">
        <v>0</v>
      </c>
      <c r="AQ261" s="101"/>
      <c r="AR261" s="53"/>
      <c r="AS261" s="518"/>
      <c r="AT261" s="522"/>
      <c r="AU261" s="102">
        <v>0</v>
      </c>
      <c r="AV261" s="101"/>
      <c r="AW261" s="53"/>
      <c r="AX261" s="518"/>
      <c r="AY261" s="522"/>
      <c r="AZ261" s="102">
        <v>0</v>
      </c>
      <c r="BA261" s="101"/>
      <c r="BB261" s="53"/>
      <c r="BC261" s="518"/>
      <c r="BD261" s="522"/>
      <c r="BE261" s="102">
        <v>0</v>
      </c>
      <c r="BF261" s="101"/>
      <c r="BG261" s="53"/>
      <c r="BH261" s="518"/>
      <c r="BI261" s="522"/>
      <c r="BJ261" s="102">
        <v>0</v>
      </c>
      <c r="BK261" s="101"/>
      <c r="BL261" s="53"/>
      <c r="BM261" s="518"/>
      <c r="BN261" s="522"/>
      <c r="BO261" s="102">
        <v>0</v>
      </c>
      <c r="BP261" s="101"/>
      <c r="BQ261" s="53"/>
      <c r="BR261" s="518"/>
      <c r="BS261" s="522"/>
      <c r="BT261" s="102">
        <f>SUM(L261:BO261)</f>
        <v>0</v>
      </c>
      <c r="BU261" s="101"/>
      <c r="BV261" s="53"/>
      <c r="BW261" s="465"/>
      <c r="BZ261" s="410"/>
      <c r="CA261" s="410"/>
    </row>
    <row r="262" spans="1:79" ht="12.75" hidden="1" customHeight="1" x14ac:dyDescent="0.2">
      <c r="A262" s="377"/>
      <c r="B262" s="377"/>
      <c r="D262" s="465" t="s">
        <v>382</v>
      </c>
      <c r="E262" s="572"/>
      <c r="F262" s="575"/>
      <c r="G262" s="102">
        <v>0</v>
      </c>
      <c r="H262" s="101"/>
      <c r="I262" s="53"/>
      <c r="J262" s="518"/>
      <c r="K262" s="575"/>
      <c r="L262" s="102">
        <v>0</v>
      </c>
      <c r="M262" s="101"/>
      <c r="N262" s="53"/>
      <c r="O262" s="518"/>
      <c r="P262" s="575"/>
      <c r="Q262" s="102">
        <v>0</v>
      </c>
      <c r="R262" s="101"/>
      <c r="S262" s="53"/>
      <c r="T262" s="518"/>
      <c r="U262" s="575"/>
      <c r="V262" s="102">
        <v>0</v>
      </c>
      <c r="W262" s="101"/>
      <c r="X262" s="53"/>
      <c r="Y262" s="518"/>
      <c r="Z262" s="575"/>
      <c r="AA262" s="102">
        <v>0</v>
      </c>
      <c r="AB262" s="101"/>
      <c r="AC262" s="53"/>
      <c r="AD262" s="518"/>
      <c r="AE262" s="575"/>
      <c r="AF262" s="102">
        <v>0</v>
      </c>
      <c r="AG262" s="101"/>
      <c r="AH262" s="53"/>
      <c r="AI262" s="518"/>
      <c r="AJ262" s="575"/>
      <c r="AK262" s="102">
        <v>0</v>
      </c>
      <c r="AL262" s="101"/>
      <c r="AM262" s="53"/>
      <c r="AN262" s="518"/>
      <c r="AO262" s="575"/>
      <c r="AP262" s="102">
        <v>0</v>
      </c>
      <c r="AQ262" s="101"/>
      <c r="AR262" s="53"/>
      <c r="AS262" s="518"/>
      <c r="AT262" s="575"/>
      <c r="AU262" s="102">
        <v>0</v>
      </c>
      <c r="AV262" s="101"/>
      <c r="AW262" s="53"/>
      <c r="AX262" s="518"/>
      <c r="AY262" s="575"/>
      <c r="AZ262" s="102">
        <v>0</v>
      </c>
      <c r="BA262" s="101"/>
      <c r="BB262" s="53"/>
      <c r="BC262" s="518"/>
      <c r="BD262" s="575"/>
      <c r="BE262" s="102">
        <v>0</v>
      </c>
      <c r="BF262" s="101"/>
      <c r="BG262" s="53"/>
      <c r="BH262" s="518"/>
      <c r="BI262" s="575"/>
      <c r="BJ262" s="102">
        <v>0</v>
      </c>
      <c r="BK262" s="101"/>
      <c r="BL262" s="53"/>
      <c r="BM262" s="518"/>
      <c r="BN262" s="575"/>
      <c r="BO262" s="102">
        <v>0</v>
      </c>
      <c r="BP262" s="101"/>
      <c r="BQ262" s="53"/>
      <c r="BR262" s="518"/>
      <c r="BS262" s="575"/>
      <c r="BT262" s="102">
        <f>SUM(L262:BO262)</f>
        <v>0</v>
      </c>
      <c r="BU262" s="101"/>
      <c r="BV262" s="53"/>
      <c r="BW262" s="465"/>
      <c r="BZ262" s="410"/>
      <c r="CA262" s="410"/>
    </row>
    <row r="263" spans="1:79" ht="12.75" hidden="1" customHeight="1" x14ac:dyDescent="0.2">
      <c r="A263" s="377"/>
      <c r="B263" s="377"/>
      <c r="D263" s="465"/>
      <c r="E263" s="572"/>
      <c r="F263" s="259"/>
      <c r="G263" s="53"/>
      <c r="H263" s="53"/>
      <c r="I263" s="53"/>
      <c r="J263" s="518"/>
      <c r="K263" s="259"/>
      <c r="L263" s="53"/>
      <c r="M263" s="53"/>
      <c r="N263" s="53"/>
      <c r="O263" s="518"/>
      <c r="P263" s="259"/>
      <c r="Q263" s="53"/>
      <c r="R263" s="53"/>
      <c r="S263" s="53"/>
      <c r="T263" s="518"/>
      <c r="U263" s="259"/>
      <c r="V263" s="53"/>
      <c r="W263" s="53"/>
      <c r="X263" s="53"/>
      <c r="Y263" s="518"/>
      <c r="Z263" s="259"/>
      <c r="AA263" s="53"/>
      <c r="AB263" s="53"/>
      <c r="AC263" s="53"/>
      <c r="AD263" s="518"/>
      <c r="AE263" s="259"/>
      <c r="AF263" s="53"/>
      <c r="AG263" s="53"/>
      <c r="AH263" s="53"/>
      <c r="AI263" s="518"/>
      <c r="AJ263" s="259"/>
      <c r="AK263" s="53"/>
      <c r="AL263" s="53"/>
      <c r="AM263" s="53"/>
      <c r="AN263" s="518"/>
      <c r="AO263" s="259"/>
      <c r="AP263" s="53"/>
      <c r="AQ263" s="53"/>
      <c r="AR263" s="53"/>
      <c r="AS263" s="518"/>
      <c r="AT263" s="259"/>
      <c r="AU263" s="53"/>
      <c r="AV263" s="53"/>
      <c r="AW263" s="53"/>
      <c r="AX263" s="518"/>
      <c r="AY263" s="259"/>
      <c r="AZ263" s="53"/>
      <c r="BA263" s="53"/>
      <c r="BB263" s="53"/>
      <c r="BC263" s="518"/>
      <c r="BD263" s="259"/>
      <c r="BE263" s="53"/>
      <c r="BF263" s="53"/>
      <c r="BG263" s="53"/>
      <c r="BH263" s="518"/>
      <c r="BI263" s="259"/>
      <c r="BJ263" s="53"/>
      <c r="BK263" s="53"/>
      <c r="BL263" s="53"/>
      <c r="BM263" s="518"/>
      <c r="BN263" s="259"/>
      <c r="BO263" s="53"/>
      <c r="BP263" s="53"/>
      <c r="BQ263" s="53"/>
      <c r="BR263" s="518"/>
      <c r="BS263" s="259"/>
      <c r="BT263" s="53"/>
      <c r="BU263" s="53"/>
      <c r="BV263" s="53"/>
      <c r="BW263" s="465"/>
      <c r="BZ263" s="410"/>
      <c r="CA263" s="410"/>
    </row>
    <row r="264" spans="1:79" ht="12.75" hidden="1" customHeight="1" x14ac:dyDescent="0.2">
      <c r="A264" s="377"/>
      <c r="B264" s="377"/>
      <c r="D264" s="465" t="s">
        <v>411</v>
      </c>
      <c r="E264" s="572"/>
      <c r="F264" s="259"/>
      <c r="G264" s="53">
        <v>0</v>
      </c>
      <c r="H264" s="53"/>
      <c r="I264" s="53"/>
      <c r="J264" s="518"/>
      <c r="K264" s="259"/>
      <c r="L264" s="53">
        <f>SUM(L265:L268)</f>
        <v>0</v>
      </c>
      <c r="M264" s="53"/>
      <c r="N264" s="53"/>
      <c r="O264" s="518"/>
      <c r="P264" s="259"/>
      <c r="Q264" s="53">
        <f>SUM(Q265:Q268)</f>
        <v>0</v>
      </c>
      <c r="R264" s="53"/>
      <c r="S264" s="53"/>
      <c r="T264" s="518"/>
      <c r="U264" s="259"/>
      <c r="V264" s="53">
        <f>SUM(V265:V268)</f>
        <v>0</v>
      </c>
      <c r="W264" s="53"/>
      <c r="X264" s="53"/>
      <c r="Y264" s="518"/>
      <c r="Z264" s="259"/>
      <c r="AA264" s="53">
        <f>SUM(AA265:AA268)</f>
        <v>0</v>
      </c>
      <c r="AB264" s="53"/>
      <c r="AC264" s="53"/>
      <c r="AD264" s="518"/>
      <c r="AE264" s="259"/>
      <c r="AF264" s="53">
        <f>SUM(AF265:AF268)</f>
        <v>0</v>
      </c>
      <c r="AG264" s="53"/>
      <c r="AH264" s="53"/>
      <c r="AI264" s="518"/>
      <c r="AJ264" s="259"/>
      <c r="AK264" s="53">
        <f>SUM(AK265:AK268)</f>
        <v>0</v>
      </c>
      <c r="AL264" s="53"/>
      <c r="AM264" s="53"/>
      <c r="AN264" s="518"/>
      <c r="AO264" s="259"/>
      <c r="AP264" s="53">
        <f>SUM(AP265:AP268)</f>
        <v>0</v>
      </c>
      <c r="AQ264" s="53"/>
      <c r="AR264" s="53"/>
      <c r="AS264" s="518"/>
      <c r="AT264" s="259"/>
      <c r="AU264" s="53">
        <f>SUM(AU265:AU268)</f>
        <v>0</v>
      </c>
      <c r="AV264" s="53"/>
      <c r="AW264" s="53"/>
      <c r="AX264" s="518"/>
      <c r="AY264" s="259"/>
      <c r="AZ264" s="53">
        <f>SUM(AZ265:AZ268)</f>
        <v>0</v>
      </c>
      <c r="BA264" s="53"/>
      <c r="BB264" s="53"/>
      <c r="BC264" s="518"/>
      <c r="BD264" s="259"/>
      <c r="BE264" s="53">
        <f>SUM(BE265:BE268)</f>
        <v>0</v>
      </c>
      <c r="BF264" s="53"/>
      <c r="BG264" s="53"/>
      <c r="BH264" s="518"/>
      <c r="BI264" s="259"/>
      <c r="BJ264" s="53">
        <f>SUM(BJ265:BJ268)</f>
        <v>0</v>
      </c>
      <c r="BK264" s="53"/>
      <c r="BL264" s="53"/>
      <c r="BM264" s="518"/>
      <c r="BN264" s="259"/>
      <c r="BO264" s="53">
        <f>SUM(BO265:BO268)</f>
        <v>0</v>
      </c>
      <c r="BP264" s="53"/>
      <c r="BQ264" s="53"/>
      <c r="BR264" s="518"/>
      <c r="BS264" s="259"/>
      <c r="BT264" s="53">
        <f>SUM(BT265:BT268)</f>
        <v>0</v>
      </c>
      <c r="BU264" s="53"/>
      <c r="BV264" s="53"/>
      <c r="BW264" s="465"/>
      <c r="BZ264" s="410"/>
      <c r="CA264" s="410"/>
    </row>
    <row r="265" spans="1:79" ht="12.75" hidden="1" customHeight="1" x14ac:dyDescent="0.2">
      <c r="A265" s="377"/>
      <c r="B265" s="377"/>
      <c r="D265" s="465" t="s">
        <v>378</v>
      </c>
      <c r="E265" s="572"/>
      <c r="F265" s="573"/>
      <c r="G265" s="520">
        <v>0</v>
      </c>
      <c r="H265" s="521"/>
      <c r="I265" s="53"/>
      <c r="J265" s="518"/>
      <c r="K265" s="573"/>
      <c r="L265" s="520">
        <v>0</v>
      </c>
      <c r="M265" s="521"/>
      <c r="N265" s="53"/>
      <c r="O265" s="518"/>
      <c r="P265" s="573"/>
      <c r="Q265" s="520">
        <v>0</v>
      </c>
      <c r="R265" s="521"/>
      <c r="S265" s="53"/>
      <c r="T265" s="518"/>
      <c r="U265" s="573"/>
      <c r="V265" s="520">
        <v>0</v>
      </c>
      <c r="W265" s="521"/>
      <c r="X265" s="53"/>
      <c r="Y265" s="518"/>
      <c r="Z265" s="573"/>
      <c r="AA265" s="520">
        <v>0</v>
      </c>
      <c r="AB265" s="521"/>
      <c r="AC265" s="53"/>
      <c r="AD265" s="518"/>
      <c r="AE265" s="573"/>
      <c r="AF265" s="520">
        <v>0</v>
      </c>
      <c r="AG265" s="521"/>
      <c r="AH265" s="53"/>
      <c r="AI265" s="518"/>
      <c r="AJ265" s="573"/>
      <c r="AK265" s="520">
        <v>0</v>
      </c>
      <c r="AL265" s="521"/>
      <c r="AM265" s="53"/>
      <c r="AN265" s="518"/>
      <c r="AO265" s="573"/>
      <c r="AP265" s="520">
        <v>0</v>
      </c>
      <c r="AQ265" s="521"/>
      <c r="AR265" s="53"/>
      <c r="AS265" s="518"/>
      <c r="AT265" s="573"/>
      <c r="AU265" s="520">
        <v>0</v>
      </c>
      <c r="AV265" s="521"/>
      <c r="AW265" s="53"/>
      <c r="AX265" s="518"/>
      <c r="AY265" s="573"/>
      <c r="AZ265" s="520">
        <v>0</v>
      </c>
      <c r="BA265" s="521"/>
      <c r="BB265" s="53"/>
      <c r="BC265" s="518"/>
      <c r="BD265" s="573"/>
      <c r="BE265" s="520">
        <v>0</v>
      </c>
      <c r="BF265" s="521"/>
      <c r="BG265" s="53"/>
      <c r="BH265" s="518"/>
      <c r="BI265" s="573"/>
      <c r="BJ265" s="520">
        <v>0</v>
      </c>
      <c r="BK265" s="521"/>
      <c r="BL265" s="53"/>
      <c r="BM265" s="518"/>
      <c r="BN265" s="573"/>
      <c r="BO265" s="520">
        <v>0</v>
      </c>
      <c r="BP265" s="521"/>
      <c r="BQ265" s="53"/>
      <c r="BR265" s="518"/>
      <c r="BS265" s="573"/>
      <c r="BT265" s="520">
        <f>SUM(L265:BO265)</f>
        <v>0</v>
      </c>
      <c r="BU265" s="521"/>
      <c r="BV265" s="53"/>
      <c r="BW265" s="465"/>
      <c r="BZ265" s="410"/>
      <c r="CA265" s="410"/>
    </row>
    <row r="266" spans="1:79" ht="12.75" hidden="1" customHeight="1" x14ac:dyDescent="0.2">
      <c r="A266" s="377"/>
      <c r="B266" s="377"/>
      <c r="D266" s="465" t="s">
        <v>380</v>
      </c>
      <c r="E266" s="572"/>
      <c r="F266" s="563"/>
      <c r="G266" s="53">
        <v>0</v>
      </c>
      <c r="H266" s="52"/>
      <c r="I266" s="53"/>
      <c r="J266" s="518"/>
      <c r="K266" s="563"/>
      <c r="L266" s="53">
        <v>0</v>
      </c>
      <c r="M266" s="52"/>
      <c r="N266" s="53"/>
      <c r="O266" s="518"/>
      <c r="P266" s="563"/>
      <c r="Q266" s="53">
        <v>0</v>
      </c>
      <c r="R266" s="52"/>
      <c r="S266" s="53"/>
      <c r="T266" s="518"/>
      <c r="U266" s="563"/>
      <c r="V266" s="53">
        <v>0</v>
      </c>
      <c r="W266" s="52"/>
      <c r="X266" s="53"/>
      <c r="Y266" s="518"/>
      <c r="Z266" s="563"/>
      <c r="AA266" s="53">
        <v>0</v>
      </c>
      <c r="AB266" s="52"/>
      <c r="AC266" s="53"/>
      <c r="AD266" s="518"/>
      <c r="AE266" s="563"/>
      <c r="AF266" s="53">
        <v>0</v>
      </c>
      <c r="AG266" s="52"/>
      <c r="AH266" s="53"/>
      <c r="AI266" s="518"/>
      <c r="AJ266" s="563"/>
      <c r="AK266" s="53">
        <v>0</v>
      </c>
      <c r="AL266" s="52"/>
      <c r="AM266" s="53"/>
      <c r="AN266" s="518"/>
      <c r="AO266" s="563"/>
      <c r="AP266" s="53">
        <v>0</v>
      </c>
      <c r="AQ266" s="52"/>
      <c r="AR266" s="53"/>
      <c r="AS266" s="518"/>
      <c r="AT266" s="563"/>
      <c r="AU266" s="53">
        <v>0</v>
      </c>
      <c r="AV266" s="52"/>
      <c r="AW266" s="53"/>
      <c r="AX266" s="518"/>
      <c r="AY266" s="563"/>
      <c r="AZ266" s="53">
        <v>0</v>
      </c>
      <c r="BA266" s="52"/>
      <c r="BB266" s="53"/>
      <c r="BC266" s="518"/>
      <c r="BD266" s="563"/>
      <c r="BE266" s="53">
        <v>0</v>
      </c>
      <c r="BF266" s="52"/>
      <c r="BG266" s="53"/>
      <c r="BH266" s="518"/>
      <c r="BI266" s="563"/>
      <c r="BJ266" s="53">
        <v>0</v>
      </c>
      <c r="BK266" s="52"/>
      <c r="BL266" s="53"/>
      <c r="BM266" s="518"/>
      <c r="BN266" s="563"/>
      <c r="BO266" s="53">
        <v>0</v>
      </c>
      <c r="BP266" s="52"/>
      <c r="BQ266" s="53"/>
      <c r="BR266" s="518"/>
      <c r="BS266" s="563"/>
      <c r="BT266" s="53">
        <f>SUM(L266:BO266)</f>
        <v>0</v>
      </c>
      <c r="BU266" s="52"/>
      <c r="BV266" s="53"/>
      <c r="BW266" s="465"/>
      <c r="BZ266" s="410"/>
      <c r="CA266" s="410"/>
    </row>
    <row r="267" spans="1:79" ht="12.75" hidden="1" customHeight="1" x14ac:dyDescent="0.2">
      <c r="A267" s="377"/>
      <c r="B267" s="377"/>
      <c r="D267" s="465" t="s">
        <v>388</v>
      </c>
      <c r="E267" s="572"/>
      <c r="F267" s="478"/>
      <c r="G267" s="102">
        <v>0</v>
      </c>
      <c r="H267" s="101"/>
      <c r="I267" s="53"/>
      <c r="J267" s="518"/>
      <c r="K267" s="478"/>
      <c r="L267" s="102">
        <v>0</v>
      </c>
      <c r="M267" s="101"/>
      <c r="N267" s="53"/>
      <c r="O267" s="518"/>
      <c r="P267" s="478"/>
      <c r="Q267" s="102">
        <v>0</v>
      </c>
      <c r="R267" s="101"/>
      <c r="S267" s="53"/>
      <c r="T267" s="518"/>
      <c r="U267" s="478"/>
      <c r="V267" s="102">
        <v>0</v>
      </c>
      <c r="W267" s="101"/>
      <c r="X267" s="53"/>
      <c r="Y267" s="518"/>
      <c r="Z267" s="478"/>
      <c r="AA267" s="102">
        <v>0</v>
      </c>
      <c r="AB267" s="101"/>
      <c r="AC267" s="53"/>
      <c r="AD267" s="518"/>
      <c r="AE267" s="478"/>
      <c r="AF267" s="102">
        <v>0</v>
      </c>
      <c r="AG267" s="101"/>
      <c r="AH267" s="53"/>
      <c r="AI267" s="518"/>
      <c r="AJ267" s="478"/>
      <c r="AK267" s="102">
        <v>0</v>
      </c>
      <c r="AL267" s="101"/>
      <c r="AM267" s="53"/>
      <c r="AN267" s="518"/>
      <c r="AO267" s="478"/>
      <c r="AP267" s="102">
        <v>0</v>
      </c>
      <c r="AQ267" s="101"/>
      <c r="AR267" s="53"/>
      <c r="AS267" s="518"/>
      <c r="AT267" s="522"/>
      <c r="AU267" s="102">
        <v>0</v>
      </c>
      <c r="AV267" s="101"/>
      <c r="AW267" s="53"/>
      <c r="AX267" s="518"/>
      <c r="AY267" s="522"/>
      <c r="AZ267" s="102">
        <v>0</v>
      </c>
      <c r="BA267" s="101"/>
      <c r="BB267" s="53"/>
      <c r="BC267" s="518"/>
      <c r="BD267" s="522"/>
      <c r="BE267" s="102">
        <v>0</v>
      </c>
      <c r="BF267" s="101"/>
      <c r="BG267" s="53"/>
      <c r="BH267" s="518"/>
      <c r="BI267" s="522"/>
      <c r="BJ267" s="102">
        <v>0</v>
      </c>
      <c r="BK267" s="101"/>
      <c r="BL267" s="53"/>
      <c r="BM267" s="518"/>
      <c r="BN267" s="522"/>
      <c r="BO267" s="102">
        <v>0</v>
      </c>
      <c r="BP267" s="101"/>
      <c r="BQ267" s="53"/>
      <c r="BR267" s="518"/>
      <c r="BS267" s="522"/>
      <c r="BT267" s="102">
        <f>SUM(L267:BO267)</f>
        <v>0</v>
      </c>
      <c r="BU267" s="101"/>
      <c r="BV267" s="53"/>
      <c r="BW267" s="465"/>
      <c r="BZ267" s="410"/>
      <c r="CA267" s="410"/>
    </row>
    <row r="268" spans="1:79" ht="12.75" hidden="1" customHeight="1" x14ac:dyDescent="0.2">
      <c r="A268" s="377"/>
      <c r="B268" s="377"/>
      <c r="D268" s="465" t="s">
        <v>382</v>
      </c>
      <c r="E268" s="572"/>
      <c r="F268" s="575"/>
      <c r="G268" s="102">
        <v>0</v>
      </c>
      <c r="H268" s="101"/>
      <c r="I268" s="53"/>
      <c r="J268" s="518"/>
      <c r="K268" s="575"/>
      <c r="L268" s="102">
        <v>0</v>
      </c>
      <c r="M268" s="101"/>
      <c r="N268" s="53"/>
      <c r="O268" s="518"/>
      <c r="P268" s="575"/>
      <c r="Q268" s="102">
        <v>0</v>
      </c>
      <c r="R268" s="101"/>
      <c r="S268" s="53"/>
      <c r="T268" s="518"/>
      <c r="U268" s="575"/>
      <c r="V268" s="102">
        <v>0</v>
      </c>
      <c r="W268" s="101"/>
      <c r="X268" s="53"/>
      <c r="Y268" s="518"/>
      <c r="Z268" s="575"/>
      <c r="AA268" s="102">
        <v>0</v>
      </c>
      <c r="AB268" s="101"/>
      <c r="AC268" s="53"/>
      <c r="AD268" s="518"/>
      <c r="AE268" s="575"/>
      <c r="AF268" s="102">
        <v>0</v>
      </c>
      <c r="AG268" s="101"/>
      <c r="AH268" s="53"/>
      <c r="AI268" s="518"/>
      <c r="AJ268" s="575"/>
      <c r="AK268" s="102">
        <v>0</v>
      </c>
      <c r="AL268" s="101"/>
      <c r="AM268" s="53"/>
      <c r="AN268" s="518"/>
      <c r="AO268" s="575"/>
      <c r="AP268" s="102">
        <v>0</v>
      </c>
      <c r="AQ268" s="101"/>
      <c r="AR268" s="53"/>
      <c r="AS268" s="518"/>
      <c r="AT268" s="575"/>
      <c r="AU268" s="102">
        <v>0</v>
      </c>
      <c r="AV268" s="101"/>
      <c r="AW268" s="53"/>
      <c r="AX268" s="518"/>
      <c r="AY268" s="575"/>
      <c r="AZ268" s="102">
        <v>0</v>
      </c>
      <c r="BA268" s="101"/>
      <c r="BB268" s="53"/>
      <c r="BC268" s="518"/>
      <c r="BD268" s="575"/>
      <c r="BE268" s="102">
        <v>0</v>
      </c>
      <c r="BF268" s="101"/>
      <c r="BG268" s="53"/>
      <c r="BH268" s="518"/>
      <c r="BI268" s="575"/>
      <c r="BJ268" s="102">
        <v>0</v>
      </c>
      <c r="BK268" s="101"/>
      <c r="BL268" s="53"/>
      <c r="BM268" s="518"/>
      <c r="BN268" s="575"/>
      <c r="BO268" s="102">
        <v>0</v>
      </c>
      <c r="BP268" s="101"/>
      <c r="BQ268" s="53"/>
      <c r="BR268" s="518"/>
      <c r="BS268" s="575"/>
      <c r="BT268" s="102">
        <f>SUM(L268:BO268)</f>
        <v>0</v>
      </c>
      <c r="BU268" s="101"/>
      <c r="BV268" s="53"/>
      <c r="BW268" s="465"/>
      <c r="BZ268" s="410"/>
      <c r="CA268" s="410"/>
    </row>
    <row r="269" spans="1:79" ht="12.75" hidden="1" customHeight="1" x14ac:dyDescent="0.2">
      <c r="A269" s="377"/>
      <c r="B269" s="377"/>
      <c r="D269" s="465"/>
      <c r="E269" s="572"/>
      <c r="F269" s="259"/>
      <c r="G269" s="53"/>
      <c r="H269" s="53"/>
      <c r="I269" s="53"/>
      <c r="J269" s="518"/>
      <c r="K269" s="259"/>
      <c r="L269" s="53"/>
      <c r="M269" s="53"/>
      <c r="N269" s="53"/>
      <c r="O269" s="518"/>
      <c r="P269" s="259"/>
      <c r="Q269" s="53"/>
      <c r="R269" s="53"/>
      <c r="S269" s="53"/>
      <c r="T269" s="518"/>
      <c r="U269" s="259"/>
      <c r="V269" s="53"/>
      <c r="W269" s="53"/>
      <c r="X269" s="53"/>
      <c r="Y269" s="518"/>
      <c r="Z269" s="259"/>
      <c r="AA269" s="53"/>
      <c r="AB269" s="53"/>
      <c r="AC269" s="53"/>
      <c r="AD269" s="518"/>
      <c r="AE269" s="259"/>
      <c r="AF269" s="53"/>
      <c r="AG269" s="53"/>
      <c r="AH269" s="53"/>
      <c r="AI269" s="518"/>
      <c r="AJ269" s="259"/>
      <c r="AK269" s="53"/>
      <c r="AL269" s="53"/>
      <c r="AM269" s="53"/>
      <c r="AN269" s="518"/>
      <c r="AO269" s="259"/>
      <c r="AP269" s="53"/>
      <c r="AQ269" s="53"/>
      <c r="AR269" s="53"/>
      <c r="AS269" s="518"/>
      <c r="AT269" s="259"/>
      <c r="AU269" s="53"/>
      <c r="AV269" s="53"/>
      <c r="AW269" s="53"/>
      <c r="AX269" s="518"/>
      <c r="AY269" s="259"/>
      <c r="AZ269" s="53"/>
      <c r="BA269" s="53"/>
      <c r="BB269" s="53"/>
      <c r="BC269" s="518"/>
      <c r="BD269" s="259"/>
      <c r="BE269" s="53"/>
      <c r="BF269" s="53"/>
      <c r="BG269" s="53"/>
      <c r="BH269" s="518"/>
      <c r="BI269" s="259"/>
      <c r="BJ269" s="53"/>
      <c r="BK269" s="53"/>
      <c r="BL269" s="53"/>
      <c r="BM269" s="518"/>
      <c r="BN269" s="259"/>
      <c r="BO269" s="53"/>
      <c r="BP269" s="53"/>
      <c r="BQ269" s="53"/>
      <c r="BR269" s="518"/>
      <c r="BS269" s="259"/>
      <c r="BT269" s="53"/>
      <c r="BU269" s="53"/>
      <c r="BV269" s="53"/>
      <c r="BW269" s="465"/>
      <c r="BZ269" s="410"/>
      <c r="CA269" s="410"/>
    </row>
    <row r="270" spans="1:79" ht="12.75" hidden="1" customHeight="1" x14ac:dyDescent="0.2">
      <c r="A270" s="377"/>
      <c r="B270" s="377"/>
      <c r="D270" s="465" t="s">
        <v>435</v>
      </c>
      <c r="F270" s="377"/>
      <c r="G270" s="53">
        <f>SUM(G271:G273)</f>
        <v>0</v>
      </c>
      <c r="H270" s="53"/>
      <c r="I270" s="53"/>
      <c r="J270" s="518"/>
      <c r="K270" s="53"/>
      <c r="L270" s="53">
        <f>SUM(L271:L273)</f>
        <v>0</v>
      </c>
      <c r="M270" s="53"/>
      <c r="N270" s="53"/>
      <c r="O270" s="518"/>
      <c r="P270" s="53"/>
      <c r="Q270" s="53">
        <f>SUM(Q271:Q273)</f>
        <v>0</v>
      </c>
      <c r="R270" s="53"/>
      <c r="S270" s="53"/>
      <c r="T270" s="518"/>
      <c r="U270" s="53"/>
      <c r="V270" s="53">
        <f>SUM(V271:V273)</f>
        <v>0</v>
      </c>
      <c r="W270" s="53"/>
      <c r="X270" s="53"/>
      <c r="Y270" s="518"/>
      <c r="Z270" s="53"/>
      <c r="AA270" s="53">
        <f>SUM(AA271:AA273)</f>
        <v>0</v>
      </c>
      <c r="AB270" s="53"/>
      <c r="AC270" s="53"/>
      <c r="AD270" s="518"/>
      <c r="AE270" s="53"/>
      <c r="AF270" s="53">
        <f>SUM(AF271:AF273)</f>
        <v>0</v>
      </c>
      <c r="AG270" s="53"/>
      <c r="AH270" s="53"/>
      <c r="AI270" s="518"/>
      <c r="AJ270" s="53"/>
      <c r="AK270" s="53">
        <f>SUM(AK271:AK273)</f>
        <v>0</v>
      </c>
      <c r="AL270" s="53"/>
      <c r="AM270" s="53"/>
      <c r="AN270" s="518"/>
      <c r="AO270" s="53"/>
      <c r="AP270" s="53">
        <f>SUM(AP271:AP273)</f>
        <v>0</v>
      </c>
      <c r="AQ270" s="53"/>
      <c r="AR270" s="53"/>
      <c r="AS270" s="518"/>
      <c r="AT270" s="53"/>
      <c r="AU270" s="53">
        <f>SUM(AU271:AU273)</f>
        <v>0</v>
      </c>
      <c r="AV270" s="53"/>
      <c r="AW270" s="53"/>
      <c r="AX270" s="518"/>
      <c r="AY270" s="53"/>
      <c r="AZ270" s="53">
        <f>SUM(AZ271:AZ273)</f>
        <v>0</v>
      </c>
      <c r="BA270" s="53"/>
      <c r="BB270" s="53"/>
      <c r="BC270" s="518"/>
      <c r="BD270" s="53"/>
      <c r="BE270" s="53">
        <f>SUM(BE271:BE273)</f>
        <v>0</v>
      </c>
      <c r="BF270" s="53"/>
      <c r="BG270" s="53"/>
      <c r="BH270" s="518"/>
      <c r="BI270" s="53"/>
      <c r="BJ270" s="53">
        <f>SUM(BJ271:BJ273)</f>
        <v>0</v>
      </c>
      <c r="BK270" s="53"/>
      <c r="BL270" s="53"/>
      <c r="BM270" s="518"/>
      <c r="BN270" s="53"/>
      <c r="BO270" s="53">
        <f>SUM(BO271:BO273)</f>
        <v>0</v>
      </c>
      <c r="BP270" s="53"/>
      <c r="BQ270" s="53"/>
      <c r="BR270" s="518"/>
      <c r="BS270" s="53"/>
      <c r="BT270" s="53">
        <f>SUM(BT271:BT273)</f>
        <v>0</v>
      </c>
      <c r="BU270" s="53"/>
      <c r="BV270" s="53"/>
      <c r="BW270" s="465"/>
      <c r="BZ270" s="410"/>
      <c r="CA270" s="410"/>
    </row>
    <row r="271" spans="1:79" ht="12.75" hidden="1" customHeight="1" x14ac:dyDescent="0.2">
      <c r="A271" s="377"/>
      <c r="B271" s="377"/>
      <c r="D271" s="465" t="s">
        <v>378</v>
      </c>
      <c r="F271" s="469"/>
      <c r="G271" s="520">
        <v>0</v>
      </c>
      <c r="H271" s="521"/>
      <c r="I271" s="53"/>
      <c r="J271" s="518"/>
      <c r="K271" s="469"/>
      <c r="L271" s="520">
        <v>0</v>
      </c>
      <c r="M271" s="521"/>
      <c r="N271" s="53"/>
      <c r="O271" s="518"/>
      <c r="P271" s="469"/>
      <c r="Q271" s="520">
        <v>0</v>
      </c>
      <c r="R271" s="521"/>
      <c r="S271" s="53"/>
      <c r="T271" s="518"/>
      <c r="U271" s="469"/>
      <c r="V271" s="520">
        <v>0</v>
      </c>
      <c r="W271" s="521"/>
      <c r="X271" s="53"/>
      <c r="Y271" s="518"/>
      <c r="Z271" s="469"/>
      <c r="AA271" s="520">
        <v>0</v>
      </c>
      <c r="AB271" s="521"/>
      <c r="AC271" s="53"/>
      <c r="AD271" s="518"/>
      <c r="AE271" s="469"/>
      <c r="AF271" s="520">
        <v>0</v>
      </c>
      <c r="AG271" s="521"/>
      <c r="AH271" s="53"/>
      <c r="AI271" s="518"/>
      <c r="AJ271" s="469"/>
      <c r="AK271" s="520">
        <v>0</v>
      </c>
      <c r="AL271" s="521"/>
      <c r="AM271" s="53"/>
      <c r="AN271" s="518"/>
      <c r="AO271" s="469"/>
      <c r="AP271" s="520">
        <v>0</v>
      </c>
      <c r="AQ271" s="521"/>
      <c r="AR271" s="53"/>
      <c r="AS271" s="518"/>
      <c r="AT271" s="519"/>
      <c r="AU271" s="520">
        <v>0</v>
      </c>
      <c r="AV271" s="521"/>
      <c r="AW271" s="53"/>
      <c r="AX271" s="518"/>
      <c r="AY271" s="519"/>
      <c r="AZ271" s="520">
        <v>0</v>
      </c>
      <c r="BA271" s="521"/>
      <c r="BB271" s="53"/>
      <c r="BC271" s="518"/>
      <c r="BD271" s="519"/>
      <c r="BE271" s="520">
        <v>0</v>
      </c>
      <c r="BF271" s="521"/>
      <c r="BG271" s="53"/>
      <c r="BH271" s="518"/>
      <c r="BI271" s="519"/>
      <c r="BJ271" s="520">
        <v>0</v>
      </c>
      <c r="BK271" s="521"/>
      <c r="BL271" s="53"/>
      <c r="BM271" s="518"/>
      <c r="BN271" s="519"/>
      <c r="BO271" s="520">
        <v>0</v>
      </c>
      <c r="BP271" s="521"/>
      <c r="BQ271" s="53"/>
      <c r="BR271" s="518"/>
      <c r="BS271" s="519"/>
      <c r="BT271" s="520">
        <f>SUM(L271:BO271)</f>
        <v>0</v>
      </c>
      <c r="BU271" s="521"/>
      <c r="BV271" s="53"/>
      <c r="BW271" s="465"/>
      <c r="BZ271" s="410"/>
      <c r="CA271" s="410"/>
    </row>
    <row r="272" spans="1:79" ht="12.75" hidden="1" customHeight="1" x14ac:dyDescent="0.2">
      <c r="A272" s="377"/>
      <c r="B272" s="377"/>
      <c r="D272" s="465" t="s">
        <v>380</v>
      </c>
      <c r="F272" s="417"/>
      <c r="G272" s="53">
        <v>0</v>
      </c>
      <c r="H272" s="52"/>
      <c r="I272" s="53"/>
      <c r="J272" s="518"/>
      <c r="K272" s="417"/>
      <c r="L272" s="53">
        <v>0</v>
      </c>
      <c r="M272" s="52"/>
      <c r="N272" s="53"/>
      <c r="O272" s="518"/>
      <c r="P272" s="417"/>
      <c r="Q272" s="53">
        <v>0</v>
      </c>
      <c r="R272" s="52"/>
      <c r="S272" s="53"/>
      <c r="T272" s="518"/>
      <c r="U272" s="417"/>
      <c r="V272" s="53">
        <v>0</v>
      </c>
      <c r="W272" s="52"/>
      <c r="X272" s="53"/>
      <c r="Y272" s="518"/>
      <c r="Z272" s="417"/>
      <c r="AA272" s="53">
        <v>0</v>
      </c>
      <c r="AB272" s="52"/>
      <c r="AC272" s="53"/>
      <c r="AD272" s="518"/>
      <c r="AE272" s="417"/>
      <c r="AF272" s="53">
        <v>0</v>
      </c>
      <c r="AG272" s="52"/>
      <c r="AH272" s="53"/>
      <c r="AI272" s="518"/>
      <c r="AJ272" s="417"/>
      <c r="AK272" s="53">
        <v>0</v>
      </c>
      <c r="AL272" s="52"/>
      <c r="AM272" s="53"/>
      <c r="AN272" s="518"/>
      <c r="AO272" s="417"/>
      <c r="AP272" s="53">
        <v>0</v>
      </c>
      <c r="AQ272" s="52"/>
      <c r="AR272" s="53"/>
      <c r="AS272" s="518"/>
      <c r="AT272" s="518"/>
      <c r="AU272" s="53">
        <v>0</v>
      </c>
      <c r="AV272" s="52"/>
      <c r="AW272" s="53"/>
      <c r="AX272" s="518"/>
      <c r="AY272" s="518"/>
      <c r="AZ272" s="53">
        <v>0</v>
      </c>
      <c r="BA272" s="52"/>
      <c r="BB272" s="53"/>
      <c r="BC272" s="518"/>
      <c r="BD272" s="518"/>
      <c r="BE272" s="53">
        <v>0</v>
      </c>
      <c r="BF272" s="52"/>
      <c r="BG272" s="53"/>
      <c r="BH272" s="518"/>
      <c r="BI272" s="518"/>
      <c r="BJ272" s="53">
        <v>0</v>
      </c>
      <c r="BK272" s="52"/>
      <c r="BL272" s="53"/>
      <c r="BM272" s="518"/>
      <c r="BN272" s="518"/>
      <c r="BO272" s="53">
        <v>0</v>
      </c>
      <c r="BP272" s="52"/>
      <c r="BQ272" s="53"/>
      <c r="BR272" s="518"/>
      <c r="BS272" s="518"/>
      <c r="BT272" s="53">
        <f>SUM(L272:BO272)</f>
        <v>0</v>
      </c>
      <c r="BU272" s="52"/>
      <c r="BV272" s="53"/>
      <c r="BW272" s="465"/>
      <c r="BZ272" s="410"/>
      <c r="CA272" s="410"/>
    </row>
    <row r="273" spans="1:79" ht="12.75" hidden="1" customHeight="1" x14ac:dyDescent="0.2">
      <c r="A273" s="377"/>
      <c r="B273" s="377"/>
      <c r="D273" s="465" t="s">
        <v>381</v>
      </c>
      <c r="F273" s="478"/>
      <c r="G273" s="102">
        <v>0</v>
      </c>
      <c r="H273" s="101"/>
      <c r="I273" s="53"/>
      <c r="J273" s="518"/>
      <c r="K273" s="478"/>
      <c r="L273" s="102">
        <v>0</v>
      </c>
      <c r="M273" s="101"/>
      <c r="N273" s="53"/>
      <c r="O273" s="518"/>
      <c r="P273" s="478"/>
      <c r="Q273" s="102">
        <v>0</v>
      </c>
      <c r="R273" s="101"/>
      <c r="S273" s="53"/>
      <c r="T273" s="518"/>
      <c r="U273" s="478"/>
      <c r="V273" s="102">
        <v>0</v>
      </c>
      <c r="W273" s="101"/>
      <c r="X273" s="53"/>
      <c r="Y273" s="518"/>
      <c r="Z273" s="478"/>
      <c r="AA273" s="102">
        <v>0</v>
      </c>
      <c r="AB273" s="101"/>
      <c r="AC273" s="53"/>
      <c r="AD273" s="518"/>
      <c r="AE273" s="478"/>
      <c r="AF273" s="102">
        <v>0</v>
      </c>
      <c r="AG273" s="101"/>
      <c r="AH273" s="53"/>
      <c r="AI273" s="518"/>
      <c r="AJ273" s="478"/>
      <c r="AK273" s="102">
        <v>0</v>
      </c>
      <c r="AL273" s="101"/>
      <c r="AM273" s="53"/>
      <c r="AN273" s="518"/>
      <c r="AO273" s="478"/>
      <c r="AP273" s="102">
        <v>0</v>
      </c>
      <c r="AQ273" s="101"/>
      <c r="AR273" s="53"/>
      <c r="AS273" s="518"/>
      <c r="AT273" s="522"/>
      <c r="AU273" s="102">
        <v>0</v>
      </c>
      <c r="AV273" s="101"/>
      <c r="AW273" s="53"/>
      <c r="AX273" s="518"/>
      <c r="AY273" s="522"/>
      <c r="AZ273" s="102">
        <v>0</v>
      </c>
      <c r="BA273" s="101"/>
      <c r="BB273" s="53"/>
      <c r="BC273" s="518"/>
      <c r="BD273" s="522"/>
      <c r="BE273" s="102">
        <v>0</v>
      </c>
      <c r="BF273" s="101"/>
      <c r="BG273" s="53"/>
      <c r="BH273" s="518"/>
      <c r="BI273" s="522"/>
      <c r="BJ273" s="102">
        <v>0</v>
      </c>
      <c r="BK273" s="101"/>
      <c r="BL273" s="53"/>
      <c r="BM273" s="518"/>
      <c r="BN273" s="522"/>
      <c r="BO273" s="102">
        <v>0</v>
      </c>
      <c r="BP273" s="101"/>
      <c r="BQ273" s="53"/>
      <c r="BR273" s="518"/>
      <c r="BS273" s="522"/>
      <c r="BT273" s="102">
        <f>SUM(L273:BO273)</f>
        <v>0</v>
      </c>
      <c r="BU273" s="101"/>
      <c r="BV273" s="53"/>
      <c r="BW273" s="465"/>
      <c r="BZ273" s="410"/>
      <c r="CA273" s="410"/>
    </row>
    <row r="274" spans="1:79" ht="12.75" hidden="1" customHeight="1" x14ac:dyDescent="0.2">
      <c r="A274" s="377"/>
      <c r="B274" s="377"/>
      <c r="D274" s="465"/>
      <c r="F274" s="377"/>
      <c r="G274" s="53"/>
      <c r="H274" s="53"/>
      <c r="I274" s="53"/>
      <c r="J274" s="518"/>
      <c r="K274" s="377"/>
      <c r="L274" s="53"/>
      <c r="M274" s="53"/>
      <c r="N274" s="53"/>
      <c r="O274" s="518"/>
      <c r="P274" s="377"/>
      <c r="Q274" s="53"/>
      <c r="R274" s="53"/>
      <c r="S274" s="53"/>
      <c r="T274" s="518"/>
      <c r="U274" s="377"/>
      <c r="V274" s="53"/>
      <c r="W274" s="53"/>
      <c r="X274" s="53"/>
      <c r="Y274" s="518"/>
      <c r="Z274" s="377"/>
      <c r="AA274" s="53"/>
      <c r="AB274" s="53"/>
      <c r="AC274" s="53"/>
      <c r="AD274" s="518"/>
      <c r="AE274" s="377"/>
      <c r="AF274" s="53"/>
      <c r="AG274" s="53"/>
      <c r="AH274" s="53"/>
      <c r="AI274" s="518"/>
      <c r="AJ274" s="377"/>
      <c r="AK274" s="53"/>
      <c r="AL274" s="53"/>
      <c r="AM274" s="53"/>
      <c r="AN274" s="518"/>
      <c r="AO274" s="377"/>
      <c r="AP274" s="53"/>
      <c r="AQ274" s="53"/>
      <c r="AR274" s="53"/>
      <c r="AS274" s="518"/>
      <c r="AT274" s="53"/>
      <c r="AU274" s="53"/>
      <c r="AV274" s="53"/>
      <c r="AW274" s="53"/>
      <c r="AX274" s="518"/>
      <c r="AY274" s="53"/>
      <c r="AZ274" s="53"/>
      <c r="BA274" s="53"/>
      <c r="BB274" s="53"/>
      <c r="BC274" s="518"/>
      <c r="BD274" s="53"/>
      <c r="BE274" s="53"/>
      <c r="BF274" s="53"/>
      <c r="BG274" s="53"/>
      <c r="BH274" s="518"/>
      <c r="BI274" s="53"/>
      <c r="BJ274" s="53"/>
      <c r="BK274" s="53"/>
      <c r="BL274" s="53"/>
      <c r="BM274" s="518"/>
      <c r="BN274" s="53"/>
      <c r="BO274" s="53"/>
      <c r="BP274" s="53"/>
      <c r="BQ274" s="53"/>
      <c r="BR274" s="518"/>
      <c r="BS274" s="53"/>
      <c r="BT274" s="53"/>
      <c r="BU274" s="53"/>
      <c r="BV274" s="53"/>
      <c r="BW274" s="465"/>
      <c r="BZ274" s="410"/>
      <c r="CA274" s="410"/>
    </row>
    <row r="275" spans="1:79" ht="12.75" hidden="1" customHeight="1" x14ac:dyDescent="0.2">
      <c r="A275" s="377"/>
      <c r="B275" s="377"/>
      <c r="D275" s="465" t="s">
        <v>436</v>
      </c>
      <c r="E275" s="572"/>
      <c r="F275" s="377"/>
      <c r="G275" s="53">
        <f>SUM(G276:G278)</f>
        <v>0</v>
      </c>
      <c r="H275" s="53"/>
      <c r="I275" s="53"/>
      <c r="J275" s="518"/>
      <c r="K275" s="377"/>
      <c r="L275" s="53">
        <f>SUM(L276:L278)</f>
        <v>0</v>
      </c>
      <c r="M275" s="53"/>
      <c r="N275" s="53"/>
      <c r="O275" s="518"/>
      <c r="P275" s="377"/>
      <c r="Q275" s="53">
        <f>SUM(Q276:Q278)</f>
        <v>0</v>
      </c>
      <c r="R275" s="53"/>
      <c r="S275" s="53"/>
      <c r="T275" s="518"/>
      <c r="U275" s="377"/>
      <c r="V275" s="53">
        <f>SUM(V276:V278)</f>
        <v>0</v>
      </c>
      <c r="W275" s="53"/>
      <c r="X275" s="53"/>
      <c r="Y275" s="518"/>
      <c r="Z275" s="377"/>
      <c r="AA275" s="53">
        <f>SUM(AA276:AA278)</f>
        <v>0</v>
      </c>
      <c r="AB275" s="53"/>
      <c r="AC275" s="53"/>
      <c r="AD275" s="518"/>
      <c r="AE275" s="377"/>
      <c r="AF275" s="53">
        <f>SUM(AF276:AF278)</f>
        <v>0</v>
      </c>
      <c r="AG275" s="53"/>
      <c r="AH275" s="53"/>
      <c r="AI275" s="518"/>
      <c r="AJ275" s="377"/>
      <c r="AK275" s="53">
        <f>SUM(AK276:AK278)</f>
        <v>0</v>
      </c>
      <c r="AL275" s="53"/>
      <c r="AM275" s="53"/>
      <c r="AN275" s="518"/>
      <c r="AO275" s="377"/>
      <c r="AP275" s="53">
        <f>SUM(AP276:AP278)</f>
        <v>0</v>
      </c>
      <c r="AQ275" s="53"/>
      <c r="AR275" s="53"/>
      <c r="AS275" s="518"/>
      <c r="AT275" s="377"/>
      <c r="AU275" s="53">
        <f>SUM(AU276:AU278)</f>
        <v>0</v>
      </c>
      <c r="AV275" s="53"/>
      <c r="AW275" s="53"/>
      <c r="AX275" s="518"/>
      <c r="AY275" s="377"/>
      <c r="AZ275" s="53">
        <f>SUM(AZ276:AZ278)</f>
        <v>0</v>
      </c>
      <c r="BA275" s="53"/>
      <c r="BB275" s="53"/>
      <c r="BC275" s="518"/>
      <c r="BD275" s="377"/>
      <c r="BE275" s="53">
        <f>SUM(BE276:BE278)</f>
        <v>0</v>
      </c>
      <c r="BF275" s="53"/>
      <c r="BG275" s="53"/>
      <c r="BH275" s="518"/>
      <c r="BI275" s="377"/>
      <c r="BJ275" s="53">
        <f>SUM(BJ276:BJ278)</f>
        <v>0</v>
      </c>
      <c r="BK275" s="53"/>
      <c r="BL275" s="53"/>
      <c r="BM275" s="518"/>
      <c r="BN275" s="377"/>
      <c r="BO275" s="53">
        <f>SUM(BO276:BO278)</f>
        <v>0</v>
      </c>
      <c r="BP275" s="53"/>
      <c r="BQ275" s="53"/>
      <c r="BR275" s="518"/>
      <c r="BS275" s="377"/>
      <c r="BT275" s="53">
        <f>SUM(BT276:BT278)</f>
        <v>0</v>
      </c>
      <c r="BU275" s="53"/>
      <c r="BV275" s="53"/>
      <c r="BW275" s="465"/>
      <c r="BZ275" s="410"/>
      <c r="CA275" s="410"/>
    </row>
    <row r="276" spans="1:79" ht="12.75" hidden="1" customHeight="1" x14ac:dyDescent="0.2">
      <c r="A276" s="377"/>
      <c r="B276" s="377"/>
      <c r="D276" s="465" t="s">
        <v>378</v>
      </c>
      <c r="E276" s="572"/>
      <c r="F276" s="469"/>
      <c r="G276" s="520">
        <v>0</v>
      </c>
      <c r="H276" s="521"/>
      <c r="I276" s="53"/>
      <c r="J276" s="518"/>
      <c r="K276" s="469"/>
      <c r="L276" s="520">
        <v>0</v>
      </c>
      <c r="M276" s="521"/>
      <c r="N276" s="53"/>
      <c r="O276" s="518"/>
      <c r="P276" s="469"/>
      <c r="Q276" s="520">
        <v>0</v>
      </c>
      <c r="R276" s="521"/>
      <c r="S276" s="53"/>
      <c r="T276" s="518"/>
      <c r="U276" s="469"/>
      <c r="V276" s="520">
        <v>0</v>
      </c>
      <c r="W276" s="521"/>
      <c r="X276" s="53"/>
      <c r="Y276" s="518"/>
      <c r="Z276" s="469"/>
      <c r="AA276" s="520">
        <v>0</v>
      </c>
      <c r="AB276" s="521"/>
      <c r="AC276" s="53"/>
      <c r="AD276" s="518"/>
      <c r="AE276" s="469"/>
      <c r="AF276" s="520">
        <v>0</v>
      </c>
      <c r="AG276" s="521"/>
      <c r="AH276" s="53"/>
      <c r="AI276" s="518"/>
      <c r="AJ276" s="469"/>
      <c r="AK276" s="520">
        <v>0</v>
      </c>
      <c r="AL276" s="521"/>
      <c r="AM276" s="53"/>
      <c r="AN276" s="518"/>
      <c r="AO276" s="469"/>
      <c r="AP276" s="520">
        <v>0</v>
      </c>
      <c r="AQ276" s="521"/>
      <c r="AR276" s="53"/>
      <c r="AS276" s="518"/>
      <c r="AT276" s="469"/>
      <c r="AU276" s="520">
        <v>0</v>
      </c>
      <c r="AV276" s="521"/>
      <c r="AW276" s="53"/>
      <c r="AX276" s="518"/>
      <c r="AY276" s="469"/>
      <c r="AZ276" s="520">
        <v>0</v>
      </c>
      <c r="BA276" s="521"/>
      <c r="BB276" s="53"/>
      <c r="BC276" s="518"/>
      <c r="BD276" s="469"/>
      <c r="BE276" s="520">
        <v>0</v>
      </c>
      <c r="BF276" s="521"/>
      <c r="BG276" s="53"/>
      <c r="BH276" s="518"/>
      <c r="BI276" s="469"/>
      <c r="BJ276" s="520">
        <v>0</v>
      </c>
      <c r="BK276" s="521"/>
      <c r="BL276" s="53"/>
      <c r="BM276" s="518"/>
      <c r="BN276" s="469"/>
      <c r="BO276" s="520">
        <v>0</v>
      </c>
      <c r="BP276" s="521"/>
      <c r="BQ276" s="53"/>
      <c r="BR276" s="518"/>
      <c r="BS276" s="469"/>
      <c r="BT276" s="520">
        <f>SUM(L276:BO276)</f>
        <v>0</v>
      </c>
      <c r="BU276" s="521"/>
      <c r="BV276" s="53"/>
      <c r="BW276" s="465"/>
      <c r="BZ276" s="410"/>
      <c r="CA276" s="410"/>
    </row>
    <row r="277" spans="1:79" ht="12.75" hidden="1" customHeight="1" x14ac:dyDescent="0.2">
      <c r="A277" s="377"/>
      <c r="B277" s="377"/>
      <c r="D277" s="465" t="s">
        <v>380</v>
      </c>
      <c r="E277" s="572"/>
      <c r="F277" s="417"/>
      <c r="G277" s="53">
        <v>0</v>
      </c>
      <c r="H277" s="52"/>
      <c r="I277" s="53"/>
      <c r="J277" s="518"/>
      <c r="K277" s="417"/>
      <c r="L277" s="53">
        <v>0</v>
      </c>
      <c r="M277" s="52"/>
      <c r="N277" s="53"/>
      <c r="O277" s="518"/>
      <c r="P277" s="417"/>
      <c r="Q277" s="53">
        <v>0</v>
      </c>
      <c r="R277" s="52"/>
      <c r="S277" s="53"/>
      <c r="T277" s="518"/>
      <c r="U277" s="417"/>
      <c r="V277" s="53">
        <v>0</v>
      </c>
      <c r="W277" s="52"/>
      <c r="X277" s="53"/>
      <c r="Y277" s="518"/>
      <c r="Z277" s="417"/>
      <c r="AA277" s="53">
        <v>0</v>
      </c>
      <c r="AB277" s="52"/>
      <c r="AC277" s="53"/>
      <c r="AD277" s="518"/>
      <c r="AE277" s="417"/>
      <c r="AF277" s="53">
        <v>0</v>
      </c>
      <c r="AG277" s="52"/>
      <c r="AH277" s="53"/>
      <c r="AI277" s="518"/>
      <c r="AJ277" s="417"/>
      <c r="AK277" s="53">
        <v>0</v>
      </c>
      <c r="AL277" s="52"/>
      <c r="AM277" s="53"/>
      <c r="AN277" s="518"/>
      <c r="AO277" s="417"/>
      <c r="AP277" s="53">
        <v>0</v>
      </c>
      <c r="AQ277" s="52"/>
      <c r="AR277" s="53"/>
      <c r="AS277" s="518"/>
      <c r="AT277" s="417"/>
      <c r="AU277" s="53">
        <v>0</v>
      </c>
      <c r="AV277" s="52"/>
      <c r="AW277" s="53"/>
      <c r="AX277" s="518"/>
      <c r="AY277" s="417"/>
      <c r="AZ277" s="53">
        <v>0</v>
      </c>
      <c r="BA277" s="52"/>
      <c r="BB277" s="53"/>
      <c r="BC277" s="518"/>
      <c r="BD277" s="417"/>
      <c r="BE277" s="53">
        <v>0</v>
      </c>
      <c r="BF277" s="52"/>
      <c r="BG277" s="53"/>
      <c r="BH277" s="518"/>
      <c r="BI277" s="417"/>
      <c r="BJ277" s="53">
        <v>0</v>
      </c>
      <c r="BK277" s="52"/>
      <c r="BL277" s="53"/>
      <c r="BM277" s="518"/>
      <c r="BN277" s="417"/>
      <c r="BO277" s="53">
        <v>0</v>
      </c>
      <c r="BP277" s="52"/>
      <c r="BQ277" s="53"/>
      <c r="BR277" s="518"/>
      <c r="BS277" s="417"/>
      <c r="BT277" s="53">
        <f>SUM(L277:BO277)</f>
        <v>0</v>
      </c>
      <c r="BU277" s="52"/>
      <c r="BV277" s="53"/>
      <c r="BW277" s="465"/>
      <c r="BZ277" s="410"/>
      <c r="CA277" s="410"/>
    </row>
    <row r="278" spans="1:79" ht="12.75" hidden="1" customHeight="1" x14ac:dyDescent="0.2">
      <c r="A278" s="377"/>
      <c r="B278" s="377"/>
      <c r="D278" s="465" t="s">
        <v>381</v>
      </c>
      <c r="E278" s="572"/>
      <c r="F278" s="478"/>
      <c r="G278" s="102">
        <v>0</v>
      </c>
      <c r="H278" s="101"/>
      <c r="I278" s="53"/>
      <c r="J278" s="518"/>
      <c r="K278" s="478"/>
      <c r="L278" s="102">
        <v>0</v>
      </c>
      <c r="M278" s="101"/>
      <c r="N278" s="53"/>
      <c r="O278" s="518"/>
      <c r="P278" s="478"/>
      <c r="Q278" s="102">
        <v>0</v>
      </c>
      <c r="R278" s="101"/>
      <c r="S278" s="53"/>
      <c r="T278" s="518"/>
      <c r="U278" s="478"/>
      <c r="V278" s="102">
        <v>0</v>
      </c>
      <c r="W278" s="101"/>
      <c r="X278" s="53"/>
      <c r="Y278" s="518"/>
      <c r="Z278" s="478"/>
      <c r="AA278" s="102">
        <v>0</v>
      </c>
      <c r="AB278" s="101"/>
      <c r="AC278" s="53"/>
      <c r="AD278" s="518"/>
      <c r="AE278" s="478"/>
      <c r="AF278" s="102">
        <v>0</v>
      </c>
      <c r="AG278" s="101"/>
      <c r="AH278" s="53"/>
      <c r="AI278" s="518"/>
      <c r="AJ278" s="478"/>
      <c r="AK278" s="102">
        <v>0</v>
      </c>
      <c r="AL278" s="101"/>
      <c r="AM278" s="53"/>
      <c r="AN278" s="518"/>
      <c r="AO278" s="478"/>
      <c r="AP278" s="102">
        <v>0</v>
      </c>
      <c r="AQ278" s="101"/>
      <c r="AR278" s="53"/>
      <c r="AS278" s="518"/>
      <c r="AT278" s="478"/>
      <c r="AU278" s="102">
        <v>0</v>
      </c>
      <c r="AV278" s="101"/>
      <c r="AW278" s="53"/>
      <c r="AX278" s="518"/>
      <c r="AY278" s="478"/>
      <c r="AZ278" s="102">
        <v>0</v>
      </c>
      <c r="BA278" s="101"/>
      <c r="BB278" s="53"/>
      <c r="BC278" s="518"/>
      <c r="BD278" s="478"/>
      <c r="BE278" s="102">
        <v>0</v>
      </c>
      <c r="BF278" s="101"/>
      <c r="BG278" s="53"/>
      <c r="BH278" s="518"/>
      <c r="BI278" s="478"/>
      <c r="BJ278" s="102">
        <v>0</v>
      </c>
      <c r="BK278" s="101"/>
      <c r="BL278" s="53"/>
      <c r="BM278" s="518"/>
      <c r="BN278" s="478"/>
      <c r="BO278" s="102">
        <v>0</v>
      </c>
      <c r="BP278" s="101"/>
      <c r="BQ278" s="53"/>
      <c r="BR278" s="518"/>
      <c r="BS278" s="478"/>
      <c r="BT278" s="102">
        <f>SUM(L278:BO278)</f>
        <v>0</v>
      </c>
      <c r="BU278" s="101"/>
      <c r="BV278" s="53"/>
      <c r="BW278" s="465"/>
      <c r="BZ278" s="410"/>
      <c r="CA278" s="410"/>
    </row>
    <row r="279" spans="1:79" ht="12.75" customHeight="1" x14ac:dyDescent="0.2">
      <c r="A279" s="377"/>
      <c r="B279" s="377"/>
      <c r="D279" s="465"/>
      <c r="E279" s="572"/>
      <c r="F279" s="377"/>
      <c r="G279" s="53"/>
      <c r="H279" s="53"/>
      <c r="I279" s="53"/>
      <c r="J279" s="518"/>
      <c r="K279" s="377"/>
      <c r="L279" s="53"/>
      <c r="M279" s="53"/>
      <c r="N279" s="53"/>
      <c r="O279" s="518"/>
      <c r="P279" s="377"/>
      <c r="Q279" s="53"/>
      <c r="R279" s="53"/>
      <c r="S279" s="53"/>
      <c r="T279" s="518"/>
      <c r="U279" s="377"/>
      <c r="V279" s="53"/>
      <c r="W279" s="53"/>
      <c r="X279" s="53"/>
      <c r="Y279" s="518"/>
      <c r="Z279" s="377"/>
      <c r="AA279" s="53"/>
      <c r="AB279" s="53"/>
      <c r="AC279" s="53"/>
      <c r="AD279" s="518"/>
      <c r="AE279" s="377"/>
      <c r="AF279" s="53"/>
      <c r="AG279" s="53"/>
      <c r="AH279" s="53"/>
      <c r="AI279" s="518"/>
      <c r="AJ279" s="377"/>
      <c r="AK279" s="53"/>
      <c r="AL279" s="53"/>
      <c r="AM279" s="53"/>
      <c r="AN279" s="518"/>
      <c r="AO279" s="377"/>
      <c r="AP279" s="53"/>
      <c r="AQ279" s="53"/>
      <c r="AR279" s="53"/>
      <c r="AS279" s="518"/>
      <c r="AT279" s="377"/>
      <c r="AU279" s="53"/>
      <c r="AV279" s="53"/>
      <c r="AW279" s="53"/>
      <c r="AX279" s="518"/>
      <c r="AY279" s="377"/>
      <c r="AZ279" s="53"/>
      <c r="BA279" s="53"/>
      <c r="BB279" s="53"/>
      <c r="BC279" s="518"/>
      <c r="BD279" s="377"/>
      <c r="BE279" s="53"/>
      <c r="BF279" s="53"/>
      <c r="BG279" s="53"/>
      <c r="BH279" s="518"/>
      <c r="BI279" s="377"/>
      <c r="BJ279" s="53"/>
      <c r="BK279" s="53"/>
      <c r="BL279" s="53"/>
      <c r="BM279" s="518"/>
      <c r="BN279" s="377"/>
      <c r="BO279" s="53"/>
      <c r="BP279" s="53"/>
      <c r="BQ279" s="53"/>
      <c r="BR279" s="518"/>
      <c r="BS279" s="377"/>
      <c r="BT279" s="53"/>
      <c r="BU279" s="53"/>
      <c r="BV279" s="53"/>
      <c r="BW279" s="465"/>
      <c r="BZ279" s="410"/>
      <c r="CA279" s="410"/>
    </row>
    <row r="280" spans="1:79" ht="12.75" customHeight="1" x14ac:dyDescent="0.2">
      <c r="A280" s="377"/>
      <c r="B280" s="377"/>
      <c r="D280" s="465" t="s">
        <v>437</v>
      </c>
      <c r="F280" s="377"/>
      <c r="G280" s="53">
        <f>SUM(G281:G283)</f>
        <v>0</v>
      </c>
      <c r="H280" s="53"/>
      <c r="I280" s="53"/>
      <c r="J280" s="518"/>
      <c r="K280" s="53"/>
      <c r="L280" s="53">
        <f>SUM(L281:L283)</f>
        <v>0</v>
      </c>
      <c r="M280" s="53"/>
      <c r="N280" s="53"/>
      <c r="O280" s="518"/>
      <c r="P280" s="53"/>
      <c r="Q280" s="53">
        <f>SUM(Q281:Q283)</f>
        <v>0</v>
      </c>
      <c r="R280" s="53"/>
      <c r="S280" s="53"/>
      <c r="T280" s="518"/>
      <c r="U280" s="53"/>
      <c r="V280" s="53">
        <f>SUM(V281:V283)</f>
        <v>0</v>
      </c>
      <c r="W280" s="53"/>
      <c r="X280" s="53"/>
      <c r="Y280" s="518"/>
      <c r="Z280" s="53"/>
      <c r="AA280" s="53">
        <f>SUM(AA281:AA283)</f>
        <v>0</v>
      </c>
      <c r="AB280" s="53"/>
      <c r="AC280" s="53"/>
      <c r="AD280" s="518"/>
      <c r="AE280" s="53"/>
      <c r="AF280" s="53">
        <f>SUM(AF281:AF283)</f>
        <v>0</v>
      </c>
      <c r="AG280" s="53"/>
      <c r="AH280" s="53"/>
      <c r="AI280" s="518"/>
      <c r="AJ280" s="53"/>
      <c r="AK280" s="53">
        <f>SUM(AK281:AK283)</f>
        <v>0</v>
      </c>
      <c r="AL280" s="53"/>
      <c r="AM280" s="53"/>
      <c r="AN280" s="518"/>
      <c r="AO280" s="53"/>
      <c r="AP280" s="53">
        <f>SUM(AP281:AP283)</f>
        <v>0</v>
      </c>
      <c r="AQ280" s="53"/>
      <c r="AR280" s="53"/>
      <c r="AS280" s="518"/>
      <c r="AT280" s="53"/>
      <c r="AU280" s="53">
        <f>SUM(AU281:AU283)</f>
        <v>0</v>
      </c>
      <c r="AV280" s="53"/>
      <c r="AW280" s="53"/>
      <c r="AX280" s="518"/>
      <c r="AY280" s="53"/>
      <c r="AZ280" s="53">
        <f>SUM(AZ281:AZ283)</f>
        <v>0</v>
      </c>
      <c r="BA280" s="53"/>
      <c r="BB280" s="53"/>
      <c r="BC280" s="518"/>
      <c r="BD280" s="53"/>
      <c r="BE280" s="53">
        <f>SUM(BE281:BE283)</f>
        <v>0</v>
      </c>
      <c r="BF280" s="53"/>
      <c r="BG280" s="53"/>
      <c r="BH280" s="518"/>
      <c r="BI280" s="53"/>
      <c r="BJ280" s="53">
        <f>SUM(BJ281:BJ283)</f>
        <v>0</v>
      </c>
      <c r="BK280" s="53"/>
      <c r="BL280" s="53"/>
      <c r="BM280" s="518"/>
      <c r="BN280" s="53"/>
      <c r="BO280" s="53">
        <f>SUM(BO281:BO283)</f>
        <v>0</v>
      </c>
      <c r="BP280" s="53"/>
      <c r="BQ280" s="53"/>
      <c r="BR280" s="518"/>
      <c r="BS280" s="53"/>
      <c r="BT280" s="53">
        <f>SUM(BT281:BT283)</f>
        <v>0</v>
      </c>
      <c r="BU280" s="53"/>
      <c r="BV280" s="53"/>
      <c r="BW280" s="465"/>
      <c r="BZ280" s="410"/>
      <c r="CA280" s="410"/>
    </row>
    <row r="281" spans="1:79" ht="12.75" customHeight="1" x14ac:dyDescent="0.2">
      <c r="A281" s="377"/>
      <c r="B281" s="377"/>
      <c r="D281" s="465" t="s">
        <v>378</v>
      </c>
      <c r="F281" s="469"/>
      <c r="G281" s="520">
        <v>0</v>
      </c>
      <c r="H281" s="521"/>
      <c r="I281" s="53"/>
      <c r="J281" s="518"/>
      <c r="K281" s="519"/>
      <c r="L281" s="520">
        <v>0</v>
      </c>
      <c r="M281" s="521"/>
      <c r="N281" s="53"/>
      <c r="O281" s="518"/>
      <c r="P281" s="519"/>
      <c r="Q281" s="520">
        <v>0</v>
      </c>
      <c r="R281" s="521"/>
      <c r="S281" s="53"/>
      <c r="T281" s="518"/>
      <c r="U281" s="519"/>
      <c r="V281" s="520">
        <v>0</v>
      </c>
      <c r="W281" s="521"/>
      <c r="X281" s="53"/>
      <c r="Y281" s="518"/>
      <c r="Z281" s="519"/>
      <c r="AA281" s="520">
        <v>0</v>
      </c>
      <c r="AB281" s="521"/>
      <c r="AC281" s="53"/>
      <c r="AD281" s="518"/>
      <c r="AE281" s="519"/>
      <c r="AF281" s="520">
        <v>0</v>
      </c>
      <c r="AG281" s="521"/>
      <c r="AH281" s="53"/>
      <c r="AI281" s="518"/>
      <c r="AJ281" s="519"/>
      <c r="AK281" s="520">
        <v>0</v>
      </c>
      <c r="AL281" s="521"/>
      <c r="AM281" s="53"/>
      <c r="AN281" s="518"/>
      <c r="AO281" s="519"/>
      <c r="AP281" s="520">
        <v>0</v>
      </c>
      <c r="AQ281" s="521"/>
      <c r="AR281" s="53"/>
      <c r="AS281" s="518"/>
      <c r="AT281" s="519"/>
      <c r="AU281" s="520">
        <v>0</v>
      </c>
      <c r="AV281" s="521"/>
      <c r="AW281" s="53"/>
      <c r="AX281" s="518"/>
      <c r="AY281" s="519"/>
      <c r="AZ281" s="520">
        <v>0</v>
      </c>
      <c r="BA281" s="521"/>
      <c r="BB281" s="53"/>
      <c r="BC281" s="518"/>
      <c r="BD281" s="519"/>
      <c r="BE281" s="520">
        <v>0</v>
      </c>
      <c r="BF281" s="521"/>
      <c r="BG281" s="53"/>
      <c r="BH281" s="518"/>
      <c r="BI281" s="519"/>
      <c r="BJ281" s="520">
        <v>0</v>
      </c>
      <c r="BK281" s="521"/>
      <c r="BL281" s="53"/>
      <c r="BM281" s="518"/>
      <c r="BN281" s="519"/>
      <c r="BO281" s="520">
        <v>0</v>
      </c>
      <c r="BP281" s="521"/>
      <c r="BQ281" s="53"/>
      <c r="BR281" s="518"/>
      <c r="BS281" s="519"/>
      <c r="BT281" s="520">
        <f>SUM(L281:BO281)</f>
        <v>0</v>
      </c>
      <c r="BU281" s="521"/>
      <c r="BV281" s="53"/>
      <c r="BW281" s="465"/>
      <c r="BZ281" s="410"/>
      <c r="CA281" s="410"/>
    </row>
    <row r="282" spans="1:79" ht="12.75" customHeight="1" x14ac:dyDescent="0.2">
      <c r="A282" s="377"/>
      <c r="B282" s="377"/>
      <c r="D282" s="465" t="s">
        <v>380</v>
      </c>
      <c r="F282" s="417"/>
      <c r="G282" s="53">
        <v>0</v>
      </c>
      <c r="H282" s="52"/>
      <c r="I282" s="53"/>
      <c r="J282" s="518"/>
      <c r="K282" s="518"/>
      <c r="L282" s="53">
        <v>0</v>
      </c>
      <c r="M282" s="52"/>
      <c r="N282" s="53"/>
      <c r="O282" s="518"/>
      <c r="P282" s="518"/>
      <c r="Q282" s="53">
        <v>0</v>
      </c>
      <c r="R282" s="52"/>
      <c r="S282" s="53"/>
      <c r="T282" s="518"/>
      <c r="U282" s="518"/>
      <c r="V282" s="53">
        <v>0</v>
      </c>
      <c r="W282" s="52"/>
      <c r="X282" s="53"/>
      <c r="Y282" s="518"/>
      <c r="Z282" s="518"/>
      <c r="AA282" s="53">
        <v>0</v>
      </c>
      <c r="AB282" s="52"/>
      <c r="AC282" s="53"/>
      <c r="AD282" s="518"/>
      <c r="AE282" s="518"/>
      <c r="AF282" s="53">
        <v>0</v>
      </c>
      <c r="AG282" s="52"/>
      <c r="AH282" s="53"/>
      <c r="AI282" s="518"/>
      <c r="AJ282" s="518"/>
      <c r="AK282" s="53">
        <v>0</v>
      </c>
      <c r="AL282" s="52"/>
      <c r="AM282" s="53"/>
      <c r="AN282" s="518"/>
      <c r="AO282" s="518"/>
      <c r="AP282" s="53">
        <v>0</v>
      </c>
      <c r="AQ282" s="52"/>
      <c r="AR282" s="53"/>
      <c r="AS282" s="518"/>
      <c r="AT282" s="518"/>
      <c r="AU282" s="53">
        <v>0</v>
      </c>
      <c r="AV282" s="52"/>
      <c r="AW282" s="53"/>
      <c r="AX282" s="518"/>
      <c r="AY282" s="518"/>
      <c r="AZ282" s="53">
        <v>0</v>
      </c>
      <c r="BA282" s="52"/>
      <c r="BB282" s="53"/>
      <c r="BC282" s="518"/>
      <c r="BD282" s="518"/>
      <c r="BE282" s="53">
        <v>0</v>
      </c>
      <c r="BF282" s="52"/>
      <c r="BG282" s="53"/>
      <c r="BH282" s="518"/>
      <c r="BI282" s="518"/>
      <c r="BJ282" s="53">
        <v>0</v>
      </c>
      <c r="BK282" s="52"/>
      <c r="BL282" s="53"/>
      <c r="BM282" s="518"/>
      <c r="BN282" s="518"/>
      <c r="BO282" s="53">
        <v>0</v>
      </c>
      <c r="BP282" s="52"/>
      <c r="BQ282" s="53"/>
      <c r="BR282" s="518"/>
      <c r="BS282" s="518"/>
      <c r="BT282" s="53">
        <f>SUM(L282:BO282)</f>
        <v>0</v>
      </c>
      <c r="BU282" s="52"/>
      <c r="BV282" s="53"/>
      <c r="BW282" s="465"/>
      <c r="BZ282" s="410"/>
      <c r="CA282" s="410"/>
    </row>
    <row r="283" spans="1:79" ht="12.75" customHeight="1" x14ac:dyDescent="0.2">
      <c r="A283" s="377"/>
      <c r="B283" s="377"/>
      <c r="D283" s="465" t="s">
        <v>381</v>
      </c>
      <c r="F283" s="478"/>
      <c r="G283" s="102">
        <v>0</v>
      </c>
      <c r="H283" s="101"/>
      <c r="I283" s="53"/>
      <c r="J283" s="518"/>
      <c r="K283" s="522"/>
      <c r="L283" s="102">
        <v>0</v>
      </c>
      <c r="M283" s="101"/>
      <c r="N283" s="53"/>
      <c r="O283" s="518"/>
      <c r="P283" s="522"/>
      <c r="Q283" s="102">
        <v>0</v>
      </c>
      <c r="R283" s="101"/>
      <c r="S283" s="53"/>
      <c r="T283" s="518"/>
      <c r="U283" s="522"/>
      <c r="V283" s="102">
        <v>0</v>
      </c>
      <c r="W283" s="101"/>
      <c r="X283" s="53"/>
      <c r="Y283" s="518"/>
      <c r="Z283" s="522"/>
      <c r="AA283" s="102">
        <v>0</v>
      </c>
      <c r="AB283" s="101"/>
      <c r="AC283" s="53"/>
      <c r="AD283" s="518"/>
      <c r="AE283" s="522"/>
      <c r="AF283" s="102">
        <v>0</v>
      </c>
      <c r="AG283" s="101"/>
      <c r="AH283" s="53"/>
      <c r="AI283" s="518"/>
      <c r="AJ283" s="522"/>
      <c r="AK283" s="102">
        <v>0</v>
      </c>
      <c r="AL283" s="101"/>
      <c r="AM283" s="53"/>
      <c r="AN283" s="518"/>
      <c r="AO283" s="522"/>
      <c r="AP283" s="102">
        <v>0</v>
      </c>
      <c r="AQ283" s="101"/>
      <c r="AR283" s="53"/>
      <c r="AS283" s="518"/>
      <c r="AT283" s="522"/>
      <c r="AU283" s="102">
        <v>0</v>
      </c>
      <c r="AV283" s="101"/>
      <c r="AW283" s="53"/>
      <c r="AX283" s="518"/>
      <c r="AY283" s="522"/>
      <c r="AZ283" s="102">
        <v>0</v>
      </c>
      <c r="BA283" s="101"/>
      <c r="BB283" s="53"/>
      <c r="BC283" s="518"/>
      <c r="BD283" s="522"/>
      <c r="BE283" s="102">
        <v>0</v>
      </c>
      <c r="BF283" s="101"/>
      <c r="BG283" s="53"/>
      <c r="BH283" s="518"/>
      <c r="BI283" s="522"/>
      <c r="BJ283" s="102">
        <v>0</v>
      </c>
      <c r="BK283" s="101"/>
      <c r="BL283" s="53"/>
      <c r="BM283" s="518"/>
      <c r="BN283" s="522"/>
      <c r="BO283" s="102">
        <v>0</v>
      </c>
      <c r="BP283" s="101"/>
      <c r="BQ283" s="53"/>
      <c r="BR283" s="518"/>
      <c r="BS283" s="522"/>
      <c r="BT283" s="102">
        <f>SUM(L283:BO283)</f>
        <v>0</v>
      </c>
      <c r="BU283" s="101"/>
      <c r="BV283" s="53"/>
      <c r="BW283" s="465"/>
      <c r="BZ283" s="410"/>
      <c r="CA283" s="410"/>
    </row>
    <row r="284" spans="1:79" x14ac:dyDescent="0.2">
      <c r="A284" s="377"/>
      <c r="B284" s="377"/>
      <c r="D284" s="465"/>
      <c r="E284" s="572"/>
      <c r="F284" s="377"/>
      <c r="G284" s="53"/>
      <c r="H284" s="53"/>
      <c r="I284" s="53"/>
      <c r="J284" s="518"/>
      <c r="K284" s="377"/>
      <c r="L284" s="53"/>
      <c r="M284" s="53"/>
      <c r="N284" s="53"/>
      <c r="O284" s="518"/>
      <c r="P284" s="377"/>
      <c r="Q284" s="53"/>
      <c r="R284" s="53"/>
      <c r="S284" s="53"/>
      <c r="T284" s="518"/>
      <c r="U284" s="377"/>
      <c r="V284" s="53"/>
      <c r="W284" s="53"/>
      <c r="X284" s="53"/>
      <c r="Y284" s="518"/>
      <c r="Z284" s="377"/>
      <c r="AA284" s="53"/>
      <c r="AB284" s="53"/>
      <c r="AC284" s="53"/>
      <c r="AD284" s="518"/>
      <c r="AE284" s="377"/>
      <c r="AF284" s="53"/>
      <c r="AG284" s="53"/>
      <c r="AH284" s="53"/>
      <c r="AI284" s="518"/>
      <c r="AJ284" s="377"/>
      <c r="AK284" s="53"/>
      <c r="AL284" s="53"/>
      <c r="AM284" s="53"/>
      <c r="AN284" s="518"/>
      <c r="AO284" s="377"/>
      <c r="AP284" s="53"/>
      <c r="AQ284" s="53"/>
      <c r="AR284" s="53"/>
      <c r="AS284" s="518"/>
      <c r="AT284" s="377"/>
      <c r="AU284" s="53"/>
      <c r="AV284" s="53"/>
      <c r="AW284" s="53"/>
      <c r="AX284" s="518"/>
      <c r="AY284" s="377"/>
      <c r="AZ284" s="53"/>
      <c r="BA284" s="53"/>
      <c r="BB284" s="53"/>
      <c r="BC284" s="518"/>
      <c r="BD284" s="377"/>
      <c r="BE284" s="53"/>
      <c r="BF284" s="53"/>
      <c r="BG284" s="53"/>
      <c r="BH284" s="518"/>
      <c r="BI284" s="377"/>
      <c r="BJ284" s="53"/>
      <c r="BK284" s="53"/>
      <c r="BL284" s="53"/>
      <c r="BM284" s="518"/>
      <c r="BN284" s="377"/>
      <c r="BO284" s="53"/>
      <c r="BP284" s="53"/>
      <c r="BQ284" s="53"/>
      <c r="BR284" s="518"/>
      <c r="BS284" s="377"/>
      <c r="BT284" s="53"/>
      <c r="BU284" s="53"/>
      <c r="BV284" s="53"/>
      <c r="BW284" s="465"/>
      <c r="BZ284" s="410"/>
      <c r="CA284" s="410"/>
    </row>
    <row r="285" spans="1:79" s="410" customFormat="1" x14ac:dyDescent="0.2">
      <c r="A285" s="411"/>
      <c r="B285" s="411"/>
      <c r="D285" s="253" t="s">
        <v>371</v>
      </c>
      <c r="E285" s="577"/>
      <c r="F285" s="254"/>
      <c r="G285" s="42">
        <f>SUM(G286:G286)</f>
        <v>0</v>
      </c>
      <c r="H285" s="42"/>
      <c r="I285" s="42"/>
      <c r="J285" s="523"/>
      <c r="K285" s="42"/>
      <c r="L285" s="42">
        <f>SUM(L286:L286)</f>
        <v>487336</v>
      </c>
      <c r="M285" s="42"/>
      <c r="N285" s="42"/>
      <c r="O285" s="523"/>
      <c r="P285" s="42"/>
      <c r="Q285" s="42">
        <f>SUM(Q286:Q286)</f>
        <v>29682</v>
      </c>
      <c r="R285" s="42"/>
      <c r="S285" s="42"/>
      <c r="T285" s="523"/>
      <c r="U285" s="42"/>
      <c r="V285" s="42">
        <f>SUM(V286:V286)</f>
        <v>28489</v>
      </c>
      <c r="W285" s="42"/>
      <c r="X285" s="42"/>
      <c r="Y285" s="523"/>
      <c r="Z285" s="42"/>
      <c r="AA285" s="42">
        <f>SUM(AA286:AA286)</f>
        <v>0</v>
      </c>
      <c r="AB285" s="42"/>
      <c r="AC285" s="42"/>
      <c r="AD285" s="523"/>
      <c r="AE285" s="42"/>
      <c r="AF285" s="42">
        <f>SUM(AF286:AF286)</f>
        <v>41191</v>
      </c>
      <c r="AG285" s="42"/>
      <c r="AH285" s="42"/>
      <c r="AI285" s="523"/>
      <c r="AJ285" s="42"/>
      <c r="AK285" s="42">
        <f>SUM(AK286:AK286)</f>
        <v>18552</v>
      </c>
      <c r="AL285" s="42"/>
      <c r="AM285" s="42"/>
      <c r="AN285" s="523"/>
      <c r="AO285" s="259"/>
      <c r="AP285" s="42">
        <f>SUM(AP286:AP286)</f>
        <v>0</v>
      </c>
      <c r="AQ285" s="53"/>
      <c r="AR285" s="42"/>
      <c r="AS285" s="523"/>
      <c r="AT285" s="42"/>
      <c r="AU285" s="42">
        <f>SUM(AU286:AU286)</f>
        <v>0</v>
      </c>
      <c r="AV285" s="42"/>
      <c r="AW285" s="42"/>
      <c r="AX285" s="523"/>
      <c r="AY285" s="42"/>
      <c r="AZ285" s="42">
        <f>SUM(AZ286:AZ286)</f>
        <v>0</v>
      </c>
      <c r="BA285" s="42"/>
      <c r="BB285" s="42"/>
      <c r="BC285" s="523"/>
      <c r="BD285" s="42"/>
      <c r="BE285" s="42">
        <f>SUM(BE286:BE286)</f>
        <v>0</v>
      </c>
      <c r="BF285" s="42"/>
      <c r="BG285" s="42"/>
      <c r="BH285" s="523"/>
      <c r="BI285" s="42"/>
      <c r="BJ285" s="42">
        <f>SUM(BJ286:BJ286)</f>
        <v>0</v>
      </c>
      <c r="BK285" s="42"/>
      <c r="BL285" s="42"/>
      <c r="BM285" s="523"/>
      <c r="BN285" s="42"/>
      <c r="BO285" s="42">
        <f>SUM(BO286:BO286)</f>
        <v>0</v>
      </c>
      <c r="BP285" s="42"/>
      <c r="BQ285" s="42"/>
      <c r="BR285" s="523"/>
      <c r="BS285" s="42"/>
      <c r="BT285" s="42">
        <f>SUM(BT286:BT286)</f>
        <v>605250</v>
      </c>
      <c r="BU285" s="42"/>
      <c r="BV285" s="42"/>
      <c r="BW285" s="455"/>
      <c r="BY285" s="38"/>
    </row>
    <row r="286" spans="1:79" x14ac:dyDescent="0.2">
      <c r="A286" s="377"/>
      <c r="B286" s="377"/>
      <c r="D286" s="465" t="s">
        <v>378</v>
      </c>
      <c r="E286" s="572"/>
      <c r="F286" s="578"/>
      <c r="G286" s="493">
        <f>G292+G295+G327+G298+G304+G307+G310+G313+G315+G324+G330+G333+G336+G339+G342+G345+G348+G289+G320+G301</f>
        <v>0</v>
      </c>
      <c r="H286" s="549"/>
      <c r="I286" s="53"/>
      <c r="J286" s="518"/>
      <c r="K286" s="550"/>
      <c r="L286" s="493">
        <f>L292+L295+L327+L298+L304+L307+L310+L313+L315+L324+L330+L333+L336+L339+L342+L345+L348+L289+L320+L301</f>
        <v>487336</v>
      </c>
      <c r="M286" s="549"/>
      <c r="N286" s="53"/>
      <c r="O286" s="518"/>
      <c r="P286" s="550"/>
      <c r="Q286" s="493">
        <f>Q292+Q295+Q327+Q298+Q304+Q307+Q310+Q313+Q315+Q324+Q330+Q333+Q336+Q339+Q342+Q345+Q348+Q289+Q320+Q301</f>
        <v>29682</v>
      </c>
      <c r="R286" s="549"/>
      <c r="S286" s="53"/>
      <c r="T286" s="518"/>
      <c r="U286" s="550"/>
      <c r="V286" s="493">
        <f>V292+V295+V327+V298+V304+V307+V310+V313+V315+V324+V330+V333+V336+V339+V342+V345+V348+V289+V320+V301</f>
        <v>28489</v>
      </c>
      <c r="W286" s="549"/>
      <c r="X286" s="53"/>
      <c r="Y286" s="518"/>
      <c r="Z286" s="550"/>
      <c r="AA286" s="493">
        <f>AA292+AA295+AA327+AA298+AA304+AA307+AA310+AA313+AA315+AA324+AA330+AA333+AA336+AA339+AA342+AA345+AA348+AA289+AA320+AA301</f>
        <v>0</v>
      </c>
      <c r="AB286" s="549"/>
      <c r="AC286" s="53"/>
      <c r="AD286" s="518"/>
      <c r="AE286" s="550"/>
      <c r="AF286" s="493">
        <f>AF292+AF295+AF327+AF298+AF304+AF307+AF310+AF313+AF315+AF324+AF330+AF333+AF336+AF339+AF342+AF345+AF348+AF289+AF320+AF301</f>
        <v>41191</v>
      </c>
      <c r="AG286" s="549"/>
      <c r="AH286" s="53"/>
      <c r="AI286" s="518"/>
      <c r="AJ286" s="550"/>
      <c r="AK286" s="493">
        <f>AK292+AK295+AK327+AK298+AK304+AK307+AK310+AK313+AK315+AK324+AK330+AK333+AK336+AK339+AK342+AK345+AK348+AK289+AK320+AK301</f>
        <v>18552</v>
      </c>
      <c r="AL286" s="549"/>
      <c r="AM286" s="53"/>
      <c r="AN286" s="518"/>
      <c r="AO286" s="550"/>
      <c r="AP286" s="493">
        <f>AP292+AP295+AP327+AP298+AP304+AP307+AP310+AP313+AP315+AP324+AP330+AP333+AP336+AP339+AP342+AP345+AP348+AP289+AP320+AP301</f>
        <v>0</v>
      </c>
      <c r="AQ286" s="549"/>
      <c r="AR286" s="53"/>
      <c r="AS286" s="518"/>
      <c r="AT286" s="550"/>
      <c r="AU286" s="493">
        <f>AU292+AU295+AU327+AU298+AU304+AU307+AU310+AU313+AU315+AU324+AU330+AU333+AU336+AU339+AU342+AU345+AU348+AU289+AU320+AU301</f>
        <v>0</v>
      </c>
      <c r="AV286" s="549"/>
      <c r="AW286" s="53"/>
      <c r="AX286" s="518"/>
      <c r="AY286" s="550"/>
      <c r="AZ286" s="493">
        <v>0</v>
      </c>
      <c r="BA286" s="549"/>
      <c r="BB286" s="53"/>
      <c r="BC286" s="518"/>
      <c r="BD286" s="550"/>
      <c r="BE286" s="493">
        <v>0</v>
      </c>
      <c r="BF286" s="549"/>
      <c r="BG286" s="53"/>
      <c r="BH286" s="518"/>
      <c r="BI286" s="550"/>
      <c r="BJ286" s="493">
        <v>0</v>
      </c>
      <c r="BK286" s="549"/>
      <c r="BL286" s="53"/>
      <c r="BM286" s="518"/>
      <c r="BN286" s="550"/>
      <c r="BO286" s="493">
        <f>BO292+BO295+BO327+BO298+BO304+BO307+BO310+BO313+BO315+BO324+BO330+BO333+BO336+BO339+BO342+BO345+BO348+BO289+BO320+BO301</f>
        <v>0</v>
      </c>
      <c r="BP286" s="549"/>
      <c r="BQ286" s="53"/>
      <c r="BR286" s="518"/>
      <c r="BS286" s="550"/>
      <c r="BT286" s="579">
        <f>BT292+BT295+BT327+BT298+BT304+BT307+BT310+BT313+BT315+BT324+BT330+BT333+BT336+BT339+BT342+BT345+BT348+BT289+BT320+BT301</f>
        <v>605250</v>
      </c>
      <c r="BU286" s="549"/>
      <c r="BV286" s="53"/>
      <c r="BW286" s="465"/>
      <c r="BZ286" s="410"/>
      <c r="CA286" s="410"/>
    </row>
    <row r="287" spans="1:79" x14ac:dyDescent="0.2">
      <c r="A287" s="377"/>
      <c r="B287" s="377"/>
      <c r="D287" s="465"/>
      <c r="E287" s="572"/>
      <c r="F287" s="259"/>
      <c r="G287" s="53"/>
      <c r="H287" s="53"/>
      <c r="I287" s="53"/>
      <c r="J287" s="518"/>
      <c r="K287" s="53"/>
      <c r="L287" s="53"/>
      <c r="M287" s="53"/>
      <c r="N287" s="53"/>
      <c r="O287" s="518"/>
      <c r="P287" s="53"/>
      <c r="Q287" s="53"/>
      <c r="R287" s="53"/>
      <c r="S287" s="53"/>
      <c r="T287" s="518"/>
      <c r="U287" s="53"/>
      <c r="V287" s="53"/>
      <c r="W287" s="53"/>
      <c r="X287" s="53"/>
      <c r="Y287" s="518"/>
      <c r="Z287" s="53"/>
      <c r="AA287" s="53"/>
      <c r="AB287" s="53"/>
      <c r="AC287" s="53"/>
      <c r="AD287" s="518"/>
      <c r="AE287" s="53"/>
      <c r="AF287" s="53"/>
      <c r="AG287" s="53"/>
      <c r="AH287" s="53"/>
      <c r="AI287" s="518"/>
      <c r="AJ287" s="53"/>
      <c r="AK287" s="53"/>
      <c r="AL287" s="53"/>
      <c r="AM287" s="53"/>
      <c r="AN287" s="518"/>
      <c r="AO287" s="53"/>
      <c r="AP287" s="53"/>
      <c r="AQ287" s="53"/>
      <c r="AR287" s="53"/>
      <c r="AS287" s="518"/>
      <c r="AT287" s="53"/>
      <c r="AU287" s="53"/>
      <c r="AV287" s="53"/>
      <c r="AW287" s="53"/>
      <c r="AX287" s="518"/>
      <c r="AY287" s="53"/>
      <c r="AZ287" s="53"/>
      <c r="BA287" s="53"/>
      <c r="BB287" s="53"/>
      <c r="BC287" s="518"/>
      <c r="BD287" s="53"/>
      <c r="BE287" s="53"/>
      <c r="BF287" s="53"/>
      <c r="BG287" s="53"/>
      <c r="BH287" s="518"/>
      <c r="BI287" s="53"/>
      <c r="BJ287" s="53"/>
      <c r="BK287" s="53"/>
      <c r="BL287" s="53"/>
      <c r="BM287" s="518"/>
      <c r="BN287" s="53"/>
      <c r="BO287" s="53"/>
      <c r="BP287" s="53"/>
      <c r="BQ287" s="53"/>
      <c r="BR287" s="518"/>
      <c r="BS287" s="53"/>
      <c r="BT287" s="53"/>
      <c r="BU287" s="53"/>
      <c r="BV287" s="53"/>
      <c r="BW287" s="465"/>
      <c r="BZ287" s="410"/>
      <c r="CA287" s="410"/>
    </row>
    <row r="288" spans="1:79" ht="12.75" hidden="1" customHeight="1" x14ac:dyDescent="0.2">
      <c r="A288" s="377"/>
      <c r="B288" s="377"/>
      <c r="D288" s="465" t="s">
        <v>438</v>
      </c>
      <c r="F288" s="377"/>
      <c r="G288" s="53">
        <v>0</v>
      </c>
      <c r="H288" s="53"/>
      <c r="I288" s="53"/>
      <c r="J288" s="518"/>
      <c r="K288" s="53"/>
      <c r="L288" s="53">
        <f>SUM(L289:L289)</f>
        <v>0</v>
      </c>
      <c r="M288" s="53"/>
      <c r="N288" s="53"/>
      <c r="O288" s="518"/>
      <c r="P288" s="53"/>
      <c r="Q288" s="53">
        <f>SUM(Q289:Q289)</f>
        <v>0</v>
      </c>
      <c r="R288" s="53"/>
      <c r="S288" s="53"/>
      <c r="T288" s="518"/>
      <c r="U288" s="53"/>
      <c r="V288" s="53">
        <f>SUM(V289:V289)</f>
        <v>0</v>
      </c>
      <c r="W288" s="53"/>
      <c r="X288" s="53"/>
      <c r="Y288" s="518"/>
      <c r="Z288" s="53"/>
      <c r="AA288" s="53">
        <f>SUM(AA289:AA289)</f>
        <v>0</v>
      </c>
      <c r="AB288" s="53"/>
      <c r="AC288" s="53"/>
      <c r="AD288" s="518"/>
      <c r="AE288" s="53"/>
      <c r="AF288" s="53">
        <f>SUM(AF289:AF289)</f>
        <v>0</v>
      </c>
      <c r="AG288" s="53"/>
      <c r="AH288" s="53"/>
      <c r="AI288" s="518"/>
      <c r="AJ288" s="53"/>
      <c r="AK288" s="53">
        <f>SUM(AK289:AK289)</f>
        <v>0</v>
      </c>
      <c r="AL288" s="53"/>
      <c r="AM288" s="53"/>
      <c r="AN288" s="518"/>
      <c r="AO288" s="53"/>
      <c r="AP288" s="53">
        <f>SUM(AP289:AP289)</f>
        <v>0</v>
      </c>
      <c r="AQ288" s="53"/>
      <c r="AR288" s="53"/>
      <c r="AS288" s="518"/>
      <c r="AT288" s="53"/>
      <c r="AU288" s="53">
        <f>SUM(AU289:AU289)</f>
        <v>0</v>
      </c>
      <c r="AV288" s="53"/>
      <c r="AW288" s="53"/>
      <c r="AX288" s="518"/>
      <c r="AY288" s="53"/>
      <c r="AZ288" s="53">
        <f>SUM(AZ289:AZ289)</f>
        <v>0</v>
      </c>
      <c r="BA288" s="53"/>
      <c r="BB288" s="53"/>
      <c r="BC288" s="518"/>
      <c r="BD288" s="53"/>
      <c r="BE288" s="53">
        <f>SUM(BE289:BE289)</f>
        <v>0</v>
      </c>
      <c r="BF288" s="53"/>
      <c r="BG288" s="53"/>
      <c r="BH288" s="518"/>
      <c r="BI288" s="53"/>
      <c r="BJ288" s="53">
        <f>SUM(BJ289:BJ289)</f>
        <v>0</v>
      </c>
      <c r="BK288" s="53"/>
      <c r="BL288" s="53"/>
      <c r="BM288" s="518"/>
      <c r="BN288" s="53"/>
      <c r="BO288" s="53">
        <f>SUM(BO289:BO289)</f>
        <v>0</v>
      </c>
      <c r="BP288" s="53"/>
      <c r="BQ288" s="53"/>
      <c r="BR288" s="518"/>
      <c r="BS288" s="53"/>
      <c r="BT288" s="53">
        <f>SUM(BT289:BT289)</f>
        <v>0</v>
      </c>
      <c r="BU288" s="53"/>
      <c r="BV288" s="53"/>
      <c r="BW288" s="465"/>
      <c r="BZ288" s="410"/>
      <c r="CA288" s="410"/>
    </row>
    <row r="289" spans="1:79" ht="12.75" hidden="1" customHeight="1" x14ac:dyDescent="0.2">
      <c r="A289" s="377"/>
      <c r="B289" s="377"/>
      <c r="D289" s="465" t="s">
        <v>378</v>
      </c>
      <c r="F289" s="548"/>
      <c r="G289" s="493">
        <v>0</v>
      </c>
      <c r="H289" s="549"/>
      <c r="I289" s="53"/>
      <c r="J289" s="518"/>
      <c r="K289" s="550"/>
      <c r="L289" s="493">
        <v>0</v>
      </c>
      <c r="M289" s="549"/>
      <c r="N289" s="53"/>
      <c r="O289" s="518"/>
      <c r="P289" s="550"/>
      <c r="Q289" s="493">
        <v>0</v>
      </c>
      <c r="R289" s="549"/>
      <c r="S289" s="53"/>
      <c r="T289" s="518"/>
      <c r="U289" s="550"/>
      <c r="V289" s="493">
        <v>0</v>
      </c>
      <c r="W289" s="549"/>
      <c r="X289" s="53"/>
      <c r="Y289" s="518"/>
      <c r="Z289" s="550"/>
      <c r="AA289" s="493">
        <v>0</v>
      </c>
      <c r="AB289" s="549"/>
      <c r="AC289" s="53"/>
      <c r="AD289" s="518"/>
      <c r="AE289" s="550"/>
      <c r="AF289" s="493">
        <v>0</v>
      </c>
      <c r="AG289" s="549"/>
      <c r="AH289" s="53"/>
      <c r="AI289" s="518"/>
      <c r="AJ289" s="550"/>
      <c r="AK289" s="493">
        <v>0</v>
      </c>
      <c r="AL289" s="549"/>
      <c r="AM289" s="53"/>
      <c r="AN289" s="518"/>
      <c r="AO289" s="550"/>
      <c r="AP289" s="493">
        <v>0</v>
      </c>
      <c r="AQ289" s="549"/>
      <c r="AR289" s="53"/>
      <c r="AS289" s="518"/>
      <c r="AT289" s="550"/>
      <c r="AU289" s="493">
        <v>0</v>
      </c>
      <c r="AV289" s="549"/>
      <c r="AW289" s="53"/>
      <c r="AX289" s="518"/>
      <c r="AY289" s="550"/>
      <c r="AZ289" s="493">
        <v>0</v>
      </c>
      <c r="BA289" s="549"/>
      <c r="BB289" s="53"/>
      <c r="BC289" s="518"/>
      <c r="BD289" s="550"/>
      <c r="BE289" s="493">
        <v>0</v>
      </c>
      <c r="BF289" s="549"/>
      <c r="BG289" s="53"/>
      <c r="BH289" s="518"/>
      <c r="BI289" s="550"/>
      <c r="BJ289" s="493">
        <v>0</v>
      </c>
      <c r="BK289" s="549"/>
      <c r="BL289" s="53"/>
      <c r="BM289" s="518"/>
      <c r="BN289" s="550"/>
      <c r="BO289" s="493">
        <v>0</v>
      </c>
      <c r="BP289" s="549"/>
      <c r="BQ289" s="53"/>
      <c r="BR289" s="518"/>
      <c r="BS289" s="550"/>
      <c r="BT289" s="493">
        <f>SUM(L289:BO289)</f>
        <v>0</v>
      </c>
      <c r="BU289" s="549"/>
      <c r="BV289" s="53"/>
      <c r="BW289" s="465"/>
      <c r="BZ289" s="410"/>
      <c r="CA289" s="410"/>
    </row>
    <row r="290" spans="1:79" ht="12.75" hidden="1" customHeight="1" x14ac:dyDescent="0.2">
      <c r="A290" s="377"/>
      <c r="B290" s="377"/>
      <c r="D290" s="465"/>
      <c r="E290" s="572"/>
      <c r="F290" s="259"/>
      <c r="G290" s="53"/>
      <c r="H290" s="53"/>
      <c r="I290" s="53"/>
      <c r="J290" s="518"/>
      <c r="K290" s="53"/>
      <c r="L290" s="53"/>
      <c r="M290" s="53"/>
      <c r="N290" s="53"/>
      <c r="O290" s="518"/>
      <c r="P290" s="53"/>
      <c r="Q290" s="53"/>
      <c r="R290" s="53"/>
      <c r="S290" s="53"/>
      <c r="T290" s="518"/>
      <c r="U290" s="53"/>
      <c r="V290" s="53"/>
      <c r="W290" s="53"/>
      <c r="X290" s="53"/>
      <c r="Y290" s="518"/>
      <c r="Z290" s="53"/>
      <c r="AA290" s="53"/>
      <c r="AB290" s="53"/>
      <c r="AC290" s="53"/>
      <c r="AD290" s="518"/>
      <c r="AE290" s="53"/>
      <c r="AF290" s="53"/>
      <c r="AG290" s="53"/>
      <c r="AH290" s="53"/>
      <c r="AI290" s="518"/>
      <c r="AJ290" s="53"/>
      <c r="AK290" s="53"/>
      <c r="AL290" s="53"/>
      <c r="AM290" s="53"/>
      <c r="AN290" s="518"/>
      <c r="AO290" s="53"/>
      <c r="AP290" s="53"/>
      <c r="AQ290" s="53"/>
      <c r="AR290" s="53"/>
      <c r="AS290" s="518"/>
      <c r="AT290" s="53"/>
      <c r="AU290" s="53"/>
      <c r="AV290" s="53"/>
      <c r="AW290" s="53"/>
      <c r="AX290" s="518"/>
      <c r="AY290" s="53"/>
      <c r="AZ290" s="53"/>
      <c r="BA290" s="53"/>
      <c r="BB290" s="53"/>
      <c r="BC290" s="518"/>
      <c r="BD290" s="53"/>
      <c r="BE290" s="53"/>
      <c r="BF290" s="53"/>
      <c r="BG290" s="53"/>
      <c r="BH290" s="518"/>
      <c r="BI290" s="53"/>
      <c r="BJ290" s="53"/>
      <c r="BK290" s="53"/>
      <c r="BL290" s="53"/>
      <c r="BM290" s="518"/>
      <c r="BN290" s="53"/>
      <c r="BO290" s="53"/>
      <c r="BP290" s="53"/>
      <c r="BQ290" s="53"/>
      <c r="BR290" s="518"/>
      <c r="BS290" s="53"/>
      <c r="BT290" s="53"/>
      <c r="BU290" s="53"/>
      <c r="BV290" s="53"/>
      <c r="BW290" s="465"/>
      <c r="BZ290" s="410"/>
      <c r="CA290" s="410"/>
    </row>
    <row r="291" spans="1:79" x14ac:dyDescent="0.2">
      <c r="A291" s="377"/>
      <c r="B291" s="377"/>
      <c r="D291" s="465" t="s">
        <v>405</v>
      </c>
      <c r="F291" s="377"/>
      <c r="G291" s="53">
        <f>SUM(G292:G292)</f>
        <v>0</v>
      </c>
      <c r="H291" s="53"/>
      <c r="I291" s="53"/>
      <c r="J291" s="518"/>
      <c r="K291" s="53"/>
      <c r="L291" s="53">
        <f>SUM(L292:L292)</f>
        <v>487336</v>
      </c>
      <c r="M291" s="53"/>
      <c r="N291" s="53"/>
      <c r="O291" s="518"/>
      <c r="P291" s="53"/>
      <c r="Q291" s="53">
        <f>SUM(Q292:Q292)</f>
        <v>0</v>
      </c>
      <c r="R291" s="53"/>
      <c r="S291" s="53"/>
      <c r="T291" s="518"/>
      <c r="U291" s="53"/>
      <c r="V291" s="53">
        <f>SUM(V292:V292)</f>
        <v>0</v>
      </c>
      <c r="W291" s="53"/>
      <c r="X291" s="53"/>
      <c r="Y291" s="518"/>
      <c r="Z291" s="53"/>
      <c r="AA291" s="53">
        <f>SUM(AA292:AA292)</f>
        <v>0</v>
      </c>
      <c r="AB291" s="53"/>
      <c r="AC291" s="53"/>
      <c r="AD291" s="518"/>
      <c r="AE291" s="53"/>
      <c r="AF291" s="53">
        <f>SUM(AF292:AF292)</f>
        <v>0</v>
      </c>
      <c r="AG291" s="53"/>
      <c r="AH291" s="53"/>
      <c r="AI291" s="518"/>
      <c r="AJ291" s="53"/>
      <c r="AK291" s="53">
        <f>SUM(AK292:AK292)</f>
        <v>0</v>
      </c>
      <c r="AL291" s="53"/>
      <c r="AM291" s="53"/>
      <c r="AN291" s="518"/>
      <c r="AO291" s="53"/>
      <c r="AP291" s="53">
        <f>SUM(AP292:AP292)</f>
        <v>0</v>
      </c>
      <c r="AQ291" s="53"/>
      <c r="AR291" s="53"/>
      <c r="AS291" s="518"/>
      <c r="AT291" s="53"/>
      <c r="AU291" s="53">
        <f>SUM(AU292:AU292)</f>
        <v>0</v>
      </c>
      <c r="AV291" s="53"/>
      <c r="AW291" s="53"/>
      <c r="AX291" s="518"/>
      <c r="AY291" s="53"/>
      <c r="AZ291" s="53">
        <f>SUM(AZ292:AZ292)</f>
        <v>0</v>
      </c>
      <c r="BA291" s="53"/>
      <c r="BB291" s="53"/>
      <c r="BC291" s="518"/>
      <c r="BD291" s="53"/>
      <c r="BE291" s="53">
        <f>SUM(BE292:BE292)</f>
        <v>0</v>
      </c>
      <c r="BF291" s="53"/>
      <c r="BG291" s="53"/>
      <c r="BH291" s="518"/>
      <c r="BI291" s="53"/>
      <c r="BJ291" s="53">
        <f>SUM(BJ292:BJ292)</f>
        <v>0</v>
      </c>
      <c r="BK291" s="53"/>
      <c r="BL291" s="53"/>
      <c r="BM291" s="518"/>
      <c r="BN291" s="53"/>
      <c r="BO291" s="53">
        <f>SUM(BO292:BO292)</f>
        <v>0</v>
      </c>
      <c r="BP291" s="53"/>
      <c r="BQ291" s="53"/>
      <c r="BR291" s="518"/>
      <c r="BS291" s="53"/>
      <c r="BT291" s="53">
        <f>SUM(BT292:BT292)</f>
        <v>487336</v>
      </c>
      <c r="BU291" s="53"/>
      <c r="BV291" s="53"/>
      <c r="BW291" s="465"/>
      <c r="BZ291" s="410"/>
      <c r="CA291" s="410"/>
    </row>
    <row r="292" spans="1:79" x14ac:dyDescent="0.2">
      <c r="A292" s="377"/>
      <c r="B292" s="377"/>
      <c r="D292" s="465" t="s">
        <v>378</v>
      </c>
      <c r="F292" s="548"/>
      <c r="G292" s="493">
        <v>0</v>
      </c>
      <c r="H292" s="549"/>
      <c r="I292" s="53"/>
      <c r="J292" s="518"/>
      <c r="K292" s="550"/>
      <c r="L292" s="493">
        <v>487336</v>
      </c>
      <c r="M292" s="549"/>
      <c r="N292" s="53"/>
      <c r="O292" s="518"/>
      <c r="P292" s="550"/>
      <c r="Q292" s="493">
        <v>0</v>
      </c>
      <c r="R292" s="549"/>
      <c r="S292" s="53"/>
      <c r="T292" s="518"/>
      <c r="U292" s="550"/>
      <c r="V292" s="493">
        <v>0</v>
      </c>
      <c r="W292" s="549"/>
      <c r="X292" s="53"/>
      <c r="Y292" s="518"/>
      <c r="Z292" s="550"/>
      <c r="AA292" s="493">
        <v>0</v>
      </c>
      <c r="AB292" s="549"/>
      <c r="AC292" s="53"/>
      <c r="AD292" s="518"/>
      <c r="AE292" s="550"/>
      <c r="AF292" s="493">
        <v>0</v>
      </c>
      <c r="AG292" s="549"/>
      <c r="AH292" s="53"/>
      <c r="AI292" s="518"/>
      <c r="AJ292" s="550"/>
      <c r="AK292" s="493">
        <v>0</v>
      </c>
      <c r="AL292" s="549"/>
      <c r="AM292" s="53"/>
      <c r="AN292" s="518"/>
      <c r="AO292" s="550"/>
      <c r="AP292" s="493">
        <v>0</v>
      </c>
      <c r="AQ292" s="549"/>
      <c r="AR292" s="53"/>
      <c r="AS292" s="518"/>
      <c r="AT292" s="550"/>
      <c r="AU292" s="493">
        <v>0</v>
      </c>
      <c r="AV292" s="549"/>
      <c r="AW292" s="53"/>
      <c r="AX292" s="518"/>
      <c r="AY292" s="550"/>
      <c r="AZ292" s="493">
        <v>0</v>
      </c>
      <c r="BA292" s="549"/>
      <c r="BB292" s="53"/>
      <c r="BC292" s="518"/>
      <c r="BD292" s="550"/>
      <c r="BE292" s="493">
        <v>0</v>
      </c>
      <c r="BF292" s="549"/>
      <c r="BG292" s="53"/>
      <c r="BH292" s="518"/>
      <c r="BI292" s="550"/>
      <c r="BJ292" s="493">
        <v>0</v>
      </c>
      <c r="BK292" s="549"/>
      <c r="BL292" s="53"/>
      <c r="BM292" s="518"/>
      <c r="BN292" s="550"/>
      <c r="BO292" s="493">
        <v>0</v>
      </c>
      <c r="BP292" s="549"/>
      <c r="BQ292" s="53"/>
      <c r="BR292" s="518"/>
      <c r="BS292" s="550"/>
      <c r="BT292" s="493">
        <f>SUM(L292:BO292)</f>
        <v>487336</v>
      </c>
      <c r="BU292" s="549"/>
      <c r="BV292" s="53"/>
      <c r="BW292" s="465"/>
      <c r="BZ292" s="410"/>
      <c r="CA292" s="410"/>
    </row>
    <row r="293" spans="1:79" hidden="1" x14ac:dyDescent="0.2">
      <c r="A293" s="377"/>
      <c r="B293" s="377"/>
      <c r="D293" s="465"/>
      <c r="F293" s="377"/>
      <c r="G293" s="53"/>
      <c r="H293" s="53"/>
      <c r="I293" s="53"/>
      <c r="J293" s="518"/>
      <c r="K293" s="53"/>
      <c r="L293" s="53"/>
      <c r="M293" s="53"/>
      <c r="N293" s="53"/>
      <c r="O293" s="518"/>
      <c r="P293" s="53"/>
      <c r="Q293" s="53"/>
      <c r="R293" s="53"/>
      <c r="S293" s="53"/>
      <c r="T293" s="518"/>
      <c r="U293" s="53"/>
      <c r="V293" s="53"/>
      <c r="W293" s="53"/>
      <c r="X293" s="53"/>
      <c r="Y293" s="518"/>
      <c r="Z293" s="53"/>
      <c r="AA293" s="53"/>
      <c r="AB293" s="53"/>
      <c r="AC293" s="53"/>
      <c r="AD293" s="518"/>
      <c r="AE293" s="53"/>
      <c r="AF293" s="53"/>
      <c r="AG293" s="53"/>
      <c r="AH293" s="53"/>
      <c r="AI293" s="518"/>
      <c r="AJ293" s="53"/>
      <c r="AK293" s="53"/>
      <c r="AL293" s="53"/>
      <c r="AM293" s="53"/>
      <c r="AN293" s="518"/>
      <c r="AO293" s="53"/>
      <c r="AP293" s="53"/>
      <c r="AQ293" s="53"/>
      <c r="AR293" s="53"/>
      <c r="AS293" s="518"/>
      <c r="AT293" s="53"/>
      <c r="AU293" s="53"/>
      <c r="AV293" s="53"/>
      <c r="AW293" s="53"/>
      <c r="AX293" s="518"/>
      <c r="AY293" s="53"/>
      <c r="AZ293" s="53"/>
      <c r="BA293" s="53"/>
      <c r="BB293" s="53"/>
      <c r="BC293" s="518"/>
      <c r="BD293" s="53"/>
      <c r="BE293" s="53"/>
      <c r="BF293" s="53"/>
      <c r="BG293" s="53"/>
      <c r="BH293" s="518"/>
      <c r="BI293" s="53"/>
      <c r="BJ293" s="53"/>
      <c r="BK293" s="53"/>
      <c r="BL293" s="53"/>
      <c r="BM293" s="518"/>
      <c r="BN293" s="53"/>
      <c r="BO293" s="53"/>
      <c r="BP293" s="53"/>
      <c r="BQ293" s="53"/>
      <c r="BR293" s="518"/>
      <c r="BS293" s="53"/>
      <c r="BT293" s="53"/>
      <c r="BU293" s="53"/>
      <c r="BV293" s="53"/>
      <c r="BW293" s="465"/>
      <c r="BZ293" s="410"/>
      <c r="CA293" s="410"/>
    </row>
    <row r="294" spans="1:79" ht="12.75" hidden="1" customHeight="1" x14ac:dyDescent="0.2">
      <c r="A294" s="377"/>
      <c r="B294" s="377"/>
      <c r="D294" s="465" t="s">
        <v>439</v>
      </c>
      <c r="F294" s="377"/>
      <c r="G294" s="53">
        <f>SUM(G295:G295)</f>
        <v>0</v>
      </c>
      <c r="H294" s="53"/>
      <c r="I294" s="53"/>
      <c r="J294" s="518"/>
      <c r="K294" s="53"/>
      <c r="L294" s="53">
        <f>SUM(L295:L295)</f>
        <v>0</v>
      </c>
      <c r="M294" s="53"/>
      <c r="N294" s="53"/>
      <c r="O294" s="518"/>
      <c r="P294" s="53"/>
      <c r="Q294" s="53">
        <f>SUM(Q295:Q295)</f>
        <v>0</v>
      </c>
      <c r="R294" s="53"/>
      <c r="S294" s="53"/>
      <c r="T294" s="518"/>
      <c r="U294" s="53"/>
      <c r="V294" s="53">
        <f>SUM(V295:V295)</f>
        <v>0</v>
      </c>
      <c r="W294" s="53"/>
      <c r="X294" s="53"/>
      <c r="Y294" s="518"/>
      <c r="Z294" s="53"/>
      <c r="AA294" s="53">
        <f>SUM(AA295:AA295)</f>
        <v>0</v>
      </c>
      <c r="AB294" s="53"/>
      <c r="AC294" s="53"/>
      <c r="AD294" s="518"/>
      <c r="AE294" s="53"/>
      <c r="AF294" s="53">
        <f>SUM(AF295:AF295)</f>
        <v>0</v>
      </c>
      <c r="AG294" s="53"/>
      <c r="AH294" s="53"/>
      <c r="AI294" s="518"/>
      <c r="AJ294" s="53"/>
      <c r="AK294" s="53">
        <f>SUM(AK295:AK295)</f>
        <v>0</v>
      </c>
      <c r="AL294" s="53"/>
      <c r="AM294" s="53"/>
      <c r="AN294" s="518"/>
      <c r="AO294" s="53"/>
      <c r="AP294" s="53">
        <f>SUM(AP295:AP295)</f>
        <v>0</v>
      </c>
      <c r="AQ294" s="53"/>
      <c r="AR294" s="53"/>
      <c r="AS294" s="518"/>
      <c r="AT294" s="53"/>
      <c r="AU294" s="53">
        <f>SUM(AU295:AU295)</f>
        <v>0</v>
      </c>
      <c r="AV294" s="53"/>
      <c r="AW294" s="53"/>
      <c r="AX294" s="518"/>
      <c r="AY294" s="53"/>
      <c r="AZ294" s="53">
        <f>SUM(AZ295:AZ295)</f>
        <v>0</v>
      </c>
      <c r="BA294" s="53"/>
      <c r="BB294" s="53"/>
      <c r="BC294" s="518"/>
      <c r="BD294" s="53"/>
      <c r="BE294" s="53">
        <f>SUM(BE295:BE295)</f>
        <v>0</v>
      </c>
      <c r="BF294" s="53"/>
      <c r="BG294" s="53"/>
      <c r="BH294" s="518"/>
      <c r="BI294" s="53"/>
      <c r="BJ294" s="53">
        <f>SUM(BJ295:BJ295)</f>
        <v>0</v>
      </c>
      <c r="BK294" s="53"/>
      <c r="BL294" s="53"/>
      <c r="BM294" s="518"/>
      <c r="BN294" s="53"/>
      <c r="BO294" s="53">
        <f>SUM(BO295:BO295)</f>
        <v>0</v>
      </c>
      <c r="BP294" s="53"/>
      <c r="BQ294" s="53"/>
      <c r="BR294" s="518"/>
      <c r="BS294" s="53"/>
      <c r="BT294" s="53">
        <f>SUM(BT295:BT295)</f>
        <v>0</v>
      </c>
      <c r="BU294" s="53"/>
      <c r="BV294" s="53"/>
      <c r="BW294" s="465"/>
      <c r="BZ294" s="410"/>
      <c r="CA294" s="410"/>
    </row>
    <row r="295" spans="1:79" ht="12.75" hidden="1" customHeight="1" x14ac:dyDescent="0.2">
      <c r="A295" s="377"/>
      <c r="B295" s="377"/>
      <c r="D295" s="465" t="s">
        <v>378</v>
      </c>
      <c r="F295" s="548"/>
      <c r="G295" s="493">
        <v>0</v>
      </c>
      <c r="H295" s="549"/>
      <c r="I295" s="53"/>
      <c r="J295" s="518"/>
      <c r="K295" s="550"/>
      <c r="L295" s="493">
        <v>0</v>
      </c>
      <c r="M295" s="549"/>
      <c r="N295" s="53"/>
      <c r="O295" s="518"/>
      <c r="P295" s="550"/>
      <c r="Q295" s="493">
        <v>0</v>
      </c>
      <c r="R295" s="549"/>
      <c r="S295" s="53"/>
      <c r="T295" s="518"/>
      <c r="U295" s="550"/>
      <c r="V295" s="493">
        <v>0</v>
      </c>
      <c r="W295" s="549"/>
      <c r="X295" s="53"/>
      <c r="Y295" s="518"/>
      <c r="Z295" s="550"/>
      <c r="AA295" s="493">
        <v>0</v>
      </c>
      <c r="AB295" s="549"/>
      <c r="AC295" s="53"/>
      <c r="AD295" s="518"/>
      <c r="AE295" s="550"/>
      <c r="AF295" s="493">
        <v>0</v>
      </c>
      <c r="AG295" s="549"/>
      <c r="AH295" s="53"/>
      <c r="AI295" s="518"/>
      <c r="AJ295" s="550"/>
      <c r="AK295" s="493">
        <v>0</v>
      </c>
      <c r="AL295" s="549"/>
      <c r="AM295" s="53"/>
      <c r="AN295" s="518"/>
      <c r="AO295" s="550"/>
      <c r="AP295" s="493">
        <v>0</v>
      </c>
      <c r="AQ295" s="549"/>
      <c r="AR295" s="53"/>
      <c r="AS295" s="518"/>
      <c r="AT295" s="550"/>
      <c r="AU295" s="493">
        <v>0</v>
      </c>
      <c r="AV295" s="549"/>
      <c r="AW295" s="53"/>
      <c r="AX295" s="518"/>
      <c r="AY295" s="550"/>
      <c r="AZ295" s="493">
        <v>0</v>
      </c>
      <c r="BA295" s="549"/>
      <c r="BB295" s="53"/>
      <c r="BC295" s="518"/>
      <c r="BD295" s="550"/>
      <c r="BE295" s="493">
        <v>0</v>
      </c>
      <c r="BF295" s="549"/>
      <c r="BG295" s="53"/>
      <c r="BH295" s="518"/>
      <c r="BI295" s="550"/>
      <c r="BJ295" s="493">
        <v>0</v>
      </c>
      <c r="BK295" s="549"/>
      <c r="BL295" s="53"/>
      <c r="BM295" s="518"/>
      <c r="BN295" s="550"/>
      <c r="BO295" s="493">
        <v>0</v>
      </c>
      <c r="BP295" s="549"/>
      <c r="BQ295" s="53"/>
      <c r="BR295" s="518"/>
      <c r="BS295" s="550"/>
      <c r="BT295" s="493">
        <f>SUM(L295:BO295)</f>
        <v>0</v>
      </c>
      <c r="BU295" s="549"/>
      <c r="BV295" s="53"/>
      <c r="BW295" s="465"/>
      <c r="BZ295" s="410"/>
      <c r="CA295" s="410"/>
    </row>
    <row r="296" spans="1:79" ht="12.75" customHeight="1" x14ac:dyDescent="0.2">
      <c r="A296" s="377"/>
      <c r="B296" s="377"/>
      <c r="D296" s="465"/>
      <c r="F296" s="377"/>
      <c r="G296" s="53"/>
      <c r="H296" s="53"/>
      <c r="I296" s="53"/>
      <c r="J296" s="518"/>
      <c r="K296" s="53"/>
      <c r="L296" s="53"/>
      <c r="M296" s="53"/>
      <c r="N296" s="53"/>
      <c r="O296" s="518"/>
      <c r="P296" s="53"/>
      <c r="Q296" s="53"/>
      <c r="R296" s="53"/>
      <c r="S296" s="53"/>
      <c r="T296" s="518"/>
      <c r="U296" s="53"/>
      <c r="V296" s="53"/>
      <c r="W296" s="53"/>
      <c r="X296" s="53"/>
      <c r="Y296" s="518"/>
      <c r="Z296" s="53"/>
      <c r="AA296" s="53"/>
      <c r="AB296" s="53"/>
      <c r="AC296" s="53"/>
      <c r="AD296" s="518"/>
      <c r="AE296" s="53"/>
      <c r="AF296" s="53"/>
      <c r="AG296" s="53"/>
      <c r="AH296" s="53"/>
      <c r="AI296" s="518"/>
      <c r="AJ296" s="53"/>
      <c r="AK296" s="53"/>
      <c r="AL296" s="53"/>
      <c r="AM296" s="53"/>
      <c r="AN296" s="518"/>
      <c r="AO296" s="53"/>
      <c r="AP296" s="53"/>
      <c r="AQ296" s="53"/>
      <c r="AR296" s="53"/>
      <c r="AS296" s="518"/>
      <c r="AT296" s="53"/>
      <c r="AU296" s="53"/>
      <c r="AV296" s="53"/>
      <c r="AW296" s="53"/>
      <c r="AX296" s="518"/>
      <c r="AY296" s="53"/>
      <c r="AZ296" s="53"/>
      <c r="BA296" s="53"/>
      <c r="BB296" s="53"/>
      <c r="BC296" s="518"/>
      <c r="BD296" s="53"/>
      <c r="BE296" s="53"/>
      <c r="BF296" s="53"/>
      <c r="BG296" s="53"/>
      <c r="BH296" s="518"/>
      <c r="BI296" s="53"/>
      <c r="BJ296" s="53"/>
      <c r="BK296" s="53"/>
      <c r="BL296" s="53"/>
      <c r="BM296" s="518"/>
      <c r="BN296" s="53"/>
      <c r="BO296" s="53"/>
      <c r="BP296" s="53"/>
      <c r="BQ296" s="53"/>
      <c r="BR296" s="518"/>
      <c r="BS296" s="53"/>
      <c r="BT296" s="53"/>
      <c r="BU296" s="53"/>
      <c r="BV296" s="53"/>
      <c r="BW296" s="465"/>
      <c r="BZ296" s="410"/>
      <c r="CA296" s="410"/>
    </row>
    <row r="297" spans="1:79" x14ac:dyDescent="0.2">
      <c r="A297" s="377"/>
      <c r="B297" s="377"/>
      <c r="D297" s="465" t="s">
        <v>389</v>
      </c>
      <c r="F297" s="377"/>
      <c r="G297" s="53">
        <f>SUM(G298:G298)</f>
        <v>0</v>
      </c>
      <c r="H297" s="53"/>
      <c r="I297" s="53"/>
      <c r="J297" s="518"/>
      <c r="K297" s="53"/>
      <c r="L297" s="53">
        <f>SUM(L298:L298)</f>
        <v>0</v>
      </c>
      <c r="M297" s="53"/>
      <c r="N297" s="53"/>
      <c r="O297" s="518"/>
      <c r="P297" s="53"/>
      <c r="Q297" s="53">
        <f>SUM(Q298:Q298)</f>
        <v>29682</v>
      </c>
      <c r="R297" s="53"/>
      <c r="S297" s="53"/>
      <c r="T297" s="518"/>
      <c r="U297" s="53"/>
      <c r="V297" s="53">
        <f>SUM(V298:V298)</f>
        <v>28489</v>
      </c>
      <c r="W297" s="53"/>
      <c r="X297" s="53"/>
      <c r="Y297" s="518"/>
      <c r="Z297" s="53"/>
      <c r="AA297" s="53">
        <f>SUM(AA298:AA298)</f>
        <v>0</v>
      </c>
      <c r="AB297" s="53"/>
      <c r="AC297" s="53"/>
      <c r="AD297" s="518"/>
      <c r="AE297" s="53"/>
      <c r="AF297" s="53">
        <f>SUM(AF298:AF298)</f>
        <v>0</v>
      </c>
      <c r="AG297" s="53"/>
      <c r="AH297" s="53"/>
      <c r="AI297" s="518"/>
      <c r="AJ297" s="53"/>
      <c r="AK297" s="53">
        <f>SUM(AK298:AK298)</f>
        <v>0</v>
      </c>
      <c r="AL297" s="53"/>
      <c r="AM297" s="53"/>
      <c r="AN297" s="518"/>
      <c r="AO297" s="53"/>
      <c r="AP297" s="53">
        <f>SUM(AP298:AP298)</f>
        <v>0</v>
      </c>
      <c r="AQ297" s="53"/>
      <c r="AR297" s="53"/>
      <c r="AS297" s="518"/>
      <c r="AT297" s="53"/>
      <c r="AU297" s="53">
        <f>SUM(AU298:AU298)</f>
        <v>0</v>
      </c>
      <c r="AV297" s="53"/>
      <c r="AW297" s="53"/>
      <c r="AX297" s="518"/>
      <c r="AY297" s="53"/>
      <c r="AZ297" s="53">
        <f>SUM(AZ298:AZ298)</f>
        <v>0</v>
      </c>
      <c r="BA297" s="53"/>
      <c r="BB297" s="53"/>
      <c r="BC297" s="518"/>
      <c r="BD297" s="53"/>
      <c r="BE297" s="53">
        <f>SUM(BE298:BE298)</f>
        <v>0</v>
      </c>
      <c r="BF297" s="53"/>
      <c r="BG297" s="53"/>
      <c r="BH297" s="518"/>
      <c r="BI297" s="53"/>
      <c r="BJ297" s="53">
        <f>SUM(BJ298:BJ298)</f>
        <v>0</v>
      </c>
      <c r="BK297" s="53"/>
      <c r="BL297" s="53"/>
      <c r="BM297" s="518"/>
      <c r="BN297" s="53"/>
      <c r="BO297" s="53">
        <f>SUM(BO298:BO298)</f>
        <v>0</v>
      </c>
      <c r="BP297" s="53"/>
      <c r="BQ297" s="53"/>
      <c r="BR297" s="518"/>
      <c r="BS297" s="53"/>
      <c r="BT297" s="53">
        <f>SUM(BT298:BT298)</f>
        <v>58171</v>
      </c>
      <c r="BU297" s="53"/>
      <c r="BV297" s="53"/>
      <c r="BW297" s="465"/>
      <c r="BZ297" s="410"/>
      <c r="CA297" s="410"/>
    </row>
    <row r="298" spans="1:79" x14ac:dyDescent="0.2">
      <c r="A298" s="377"/>
      <c r="B298" s="377"/>
      <c r="D298" s="465" t="s">
        <v>378</v>
      </c>
      <c r="F298" s="548"/>
      <c r="G298" s="493">
        <v>0</v>
      </c>
      <c r="H298" s="549"/>
      <c r="I298" s="53"/>
      <c r="J298" s="518"/>
      <c r="K298" s="550"/>
      <c r="L298" s="493">
        <v>0</v>
      </c>
      <c r="M298" s="549"/>
      <c r="N298" s="53"/>
      <c r="O298" s="518"/>
      <c r="P298" s="550"/>
      <c r="Q298" s="493">
        <v>29682</v>
      </c>
      <c r="R298" s="549"/>
      <c r="S298" s="53"/>
      <c r="T298" s="518"/>
      <c r="U298" s="550"/>
      <c r="V298" s="493">
        <v>28489</v>
      </c>
      <c r="W298" s="549"/>
      <c r="X298" s="53"/>
      <c r="Y298" s="518"/>
      <c r="Z298" s="550"/>
      <c r="AA298" s="493">
        <v>0</v>
      </c>
      <c r="AB298" s="549"/>
      <c r="AC298" s="53"/>
      <c r="AD298" s="518"/>
      <c r="AE298" s="550"/>
      <c r="AF298" s="493">
        <v>0</v>
      </c>
      <c r="AG298" s="549"/>
      <c r="AH298" s="53"/>
      <c r="AI298" s="518"/>
      <c r="AJ298" s="550"/>
      <c r="AK298" s="493">
        <v>0</v>
      </c>
      <c r="AL298" s="549"/>
      <c r="AM298" s="53"/>
      <c r="AN298" s="518"/>
      <c r="AO298" s="550"/>
      <c r="AP298" s="493">
        <v>0</v>
      </c>
      <c r="AQ298" s="549"/>
      <c r="AR298" s="53"/>
      <c r="AS298" s="518"/>
      <c r="AT298" s="550"/>
      <c r="AU298" s="493">
        <v>0</v>
      </c>
      <c r="AV298" s="549"/>
      <c r="AW298" s="53"/>
      <c r="AX298" s="518"/>
      <c r="AY298" s="550"/>
      <c r="AZ298" s="493">
        <v>0</v>
      </c>
      <c r="BA298" s="549"/>
      <c r="BB298" s="53"/>
      <c r="BC298" s="518"/>
      <c r="BD298" s="550"/>
      <c r="BE298" s="493">
        <v>0</v>
      </c>
      <c r="BF298" s="549"/>
      <c r="BG298" s="53"/>
      <c r="BH298" s="518"/>
      <c r="BI298" s="550"/>
      <c r="BJ298" s="493">
        <v>0</v>
      </c>
      <c r="BK298" s="549"/>
      <c r="BL298" s="53"/>
      <c r="BM298" s="518"/>
      <c r="BN298" s="550"/>
      <c r="BO298" s="493">
        <v>0</v>
      </c>
      <c r="BP298" s="549"/>
      <c r="BQ298" s="53"/>
      <c r="BR298" s="518"/>
      <c r="BS298" s="550"/>
      <c r="BT298" s="493">
        <f>SUM(L298:BO298)</f>
        <v>58171</v>
      </c>
      <c r="BU298" s="549"/>
      <c r="BV298" s="53"/>
      <c r="BW298" s="465"/>
      <c r="BZ298" s="410"/>
      <c r="CA298" s="410"/>
    </row>
    <row r="299" spans="1:79" x14ac:dyDescent="0.2">
      <c r="A299" s="377"/>
      <c r="B299" s="377"/>
      <c r="D299" s="465"/>
      <c r="F299" s="377"/>
      <c r="G299" s="53"/>
      <c r="H299" s="53"/>
      <c r="I299" s="53"/>
      <c r="J299" s="518"/>
      <c r="K299" s="53"/>
      <c r="L299" s="53"/>
      <c r="M299" s="53"/>
      <c r="N299" s="53"/>
      <c r="O299" s="518"/>
      <c r="P299" s="53"/>
      <c r="Q299" s="53"/>
      <c r="R299" s="53"/>
      <c r="S299" s="53"/>
      <c r="T299" s="518"/>
      <c r="U299" s="53"/>
      <c r="V299" s="53"/>
      <c r="W299" s="53"/>
      <c r="X299" s="53"/>
      <c r="Y299" s="518"/>
      <c r="Z299" s="53"/>
      <c r="AA299" s="53"/>
      <c r="AB299" s="53"/>
      <c r="AC299" s="53"/>
      <c r="AD299" s="518"/>
      <c r="AE299" s="53"/>
      <c r="AF299" s="53"/>
      <c r="AG299" s="53"/>
      <c r="AH299" s="53"/>
      <c r="AI299" s="518"/>
      <c r="AJ299" s="53"/>
      <c r="AK299" s="53"/>
      <c r="AL299" s="53"/>
      <c r="AM299" s="53"/>
      <c r="AN299" s="518"/>
      <c r="AO299" s="53"/>
      <c r="AP299" s="53"/>
      <c r="AQ299" s="53"/>
      <c r="AR299" s="53"/>
      <c r="AS299" s="518"/>
      <c r="AT299" s="53"/>
      <c r="AU299" s="53"/>
      <c r="AV299" s="53"/>
      <c r="AW299" s="53"/>
      <c r="AX299" s="518"/>
      <c r="AY299" s="53"/>
      <c r="AZ299" s="53"/>
      <c r="BA299" s="53"/>
      <c r="BB299" s="53"/>
      <c r="BC299" s="518"/>
      <c r="BD299" s="53"/>
      <c r="BE299" s="53"/>
      <c r="BF299" s="53"/>
      <c r="BG299" s="53"/>
      <c r="BH299" s="518"/>
      <c r="BI299" s="53"/>
      <c r="BJ299" s="53"/>
      <c r="BK299" s="53"/>
      <c r="BL299" s="53"/>
      <c r="BM299" s="518"/>
      <c r="BN299" s="53"/>
      <c r="BO299" s="53"/>
      <c r="BP299" s="53"/>
      <c r="BQ299" s="53"/>
      <c r="BR299" s="518"/>
      <c r="BS299" s="53"/>
      <c r="BT299" s="53"/>
      <c r="BU299" s="53"/>
      <c r="BV299" s="53"/>
      <c r="BW299" s="465"/>
      <c r="BZ299" s="410"/>
      <c r="CA299" s="410"/>
    </row>
    <row r="300" spans="1:79" ht="12.75" hidden="1" customHeight="1" x14ac:dyDescent="0.2">
      <c r="A300" s="377"/>
      <c r="B300" s="377"/>
      <c r="D300" s="465" t="s">
        <v>404</v>
      </c>
      <c r="F300" s="377"/>
      <c r="G300" s="53">
        <f>SUM(G301:G301)</f>
        <v>0</v>
      </c>
      <c r="H300" s="53"/>
      <c r="I300" s="53"/>
      <c r="J300" s="518"/>
      <c r="K300" s="53"/>
      <c r="L300" s="53">
        <f>SUM(L301:L301)</f>
        <v>0</v>
      </c>
      <c r="M300" s="53"/>
      <c r="N300" s="53"/>
      <c r="O300" s="518"/>
      <c r="P300" s="53"/>
      <c r="Q300" s="53">
        <f>SUM(Q301:Q301)</f>
        <v>0</v>
      </c>
      <c r="R300" s="53"/>
      <c r="S300" s="53"/>
      <c r="T300" s="518"/>
      <c r="U300" s="53"/>
      <c r="V300" s="53"/>
      <c r="W300" s="53"/>
      <c r="X300" s="53"/>
      <c r="Y300" s="518"/>
      <c r="Z300" s="53"/>
      <c r="AA300" s="53">
        <f>+AA301</f>
        <v>0</v>
      </c>
      <c r="AB300" s="53"/>
      <c r="AC300" s="53"/>
      <c r="AD300" s="518"/>
      <c r="AE300" s="53"/>
      <c r="AF300" s="53"/>
      <c r="AG300" s="53"/>
      <c r="AH300" s="53"/>
      <c r="AI300" s="518"/>
      <c r="AJ300" s="53"/>
      <c r="AK300" s="53">
        <f>SUM(AK301:AK301)</f>
        <v>0</v>
      </c>
      <c r="AL300" s="53"/>
      <c r="AM300" s="53"/>
      <c r="AN300" s="518"/>
      <c r="AO300" s="53"/>
      <c r="AP300" s="53"/>
      <c r="AQ300" s="53"/>
      <c r="AR300" s="53"/>
      <c r="AS300" s="518"/>
      <c r="AT300" s="53"/>
      <c r="AU300" s="53"/>
      <c r="AV300" s="53"/>
      <c r="AW300" s="53"/>
      <c r="AX300" s="518"/>
      <c r="AY300" s="53"/>
      <c r="AZ300" s="53"/>
      <c r="BA300" s="53"/>
      <c r="BB300" s="53"/>
      <c r="BC300" s="518"/>
      <c r="BD300" s="53"/>
      <c r="BE300" s="53">
        <f>SUM(BE301:BE301)</f>
        <v>0</v>
      </c>
      <c r="BF300" s="53"/>
      <c r="BG300" s="53"/>
      <c r="BH300" s="518"/>
      <c r="BI300" s="53"/>
      <c r="BJ300" s="53">
        <f>SUM(BJ301:BJ301)</f>
        <v>0</v>
      </c>
      <c r="BK300" s="53"/>
      <c r="BL300" s="53"/>
      <c r="BM300" s="518"/>
      <c r="BN300" s="53"/>
      <c r="BO300" s="53">
        <f>SUM(BO301:BO301)</f>
        <v>0</v>
      </c>
      <c r="BP300" s="53"/>
      <c r="BQ300" s="53"/>
      <c r="BR300" s="518"/>
      <c r="BS300" s="53"/>
      <c r="BT300" s="53">
        <f>SUM(BT301:BT301)</f>
        <v>0</v>
      </c>
      <c r="BU300" s="53"/>
      <c r="BV300" s="53"/>
      <c r="BW300" s="465"/>
      <c r="BZ300" s="410"/>
      <c r="CA300" s="410"/>
    </row>
    <row r="301" spans="1:79" ht="12.75" hidden="1" customHeight="1" x14ac:dyDescent="0.2">
      <c r="A301" s="377"/>
      <c r="B301" s="377"/>
      <c r="D301" s="465" t="s">
        <v>378</v>
      </c>
      <c r="F301" s="548"/>
      <c r="G301" s="493">
        <v>0</v>
      </c>
      <c r="H301" s="549"/>
      <c r="I301" s="53"/>
      <c r="J301" s="518"/>
      <c r="K301" s="550"/>
      <c r="L301" s="580">
        <v>0</v>
      </c>
      <c r="M301" s="549"/>
      <c r="N301" s="53"/>
      <c r="O301" s="518"/>
      <c r="P301" s="550"/>
      <c r="Q301" s="580">
        <v>0</v>
      </c>
      <c r="R301" s="549"/>
      <c r="S301" s="53"/>
      <c r="T301" s="518"/>
      <c r="U301" s="550"/>
      <c r="V301" s="580">
        <v>0</v>
      </c>
      <c r="W301" s="549"/>
      <c r="X301" s="52"/>
      <c r="Y301" s="518"/>
      <c r="Z301" s="550"/>
      <c r="AA301" s="580">
        <v>0</v>
      </c>
      <c r="AB301" s="549"/>
      <c r="AC301" s="49"/>
      <c r="AD301" s="518"/>
      <c r="AE301" s="550"/>
      <c r="AF301" s="580">
        <v>0</v>
      </c>
      <c r="AG301" s="549"/>
      <c r="AH301" s="53"/>
      <c r="AI301" s="518"/>
      <c r="AJ301" s="550"/>
      <c r="AK301" s="580">
        <v>0</v>
      </c>
      <c r="AL301" s="549"/>
      <c r="AM301" s="53"/>
      <c r="AN301" s="518"/>
      <c r="AO301" s="550"/>
      <c r="AP301" s="580">
        <v>0</v>
      </c>
      <c r="AQ301" s="549"/>
      <c r="AR301" s="53"/>
      <c r="AS301" s="518"/>
      <c r="AT301" s="550"/>
      <c r="AU301" s="580">
        <v>0</v>
      </c>
      <c r="AV301" s="549"/>
      <c r="AW301" s="53"/>
      <c r="AX301" s="518"/>
      <c r="AY301" s="550"/>
      <c r="AZ301" s="580">
        <v>0</v>
      </c>
      <c r="BA301" s="549"/>
      <c r="BB301" s="53"/>
      <c r="BC301" s="518"/>
      <c r="BD301" s="550"/>
      <c r="BE301" s="580">
        <v>0</v>
      </c>
      <c r="BF301" s="549"/>
      <c r="BG301" s="53"/>
      <c r="BH301" s="518"/>
      <c r="BI301" s="550"/>
      <c r="BJ301" s="580">
        <v>0</v>
      </c>
      <c r="BK301" s="549"/>
      <c r="BL301" s="53"/>
      <c r="BM301" s="518"/>
      <c r="BN301" s="550"/>
      <c r="BO301" s="580">
        <v>0</v>
      </c>
      <c r="BP301" s="549"/>
      <c r="BQ301" s="53"/>
      <c r="BR301" s="518"/>
      <c r="BS301" s="548"/>
      <c r="BT301" s="580">
        <f>SUM(L301:BO301)</f>
        <v>0</v>
      </c>
      <c r="BU301" s="549"/>
      <c r="BV301" s="53"/>
      <c r="BW301" s="465"/>
      <c r="BZ301" s="410"/>
      <c r="CA301" s="410"/>
    </row>
    <row r="302" spans="1:79" ht="12.75" hidden="1" customHeight="1" x14ac:dyDescent="0.2">
      <c r="A302" s="377"/>
      <c r="B302" s="377"/>
      <c r="D302" s="465"/>
      <c r="F302" s="377"/>
      <c r="G302" s="53"/>
      <c r="H302" s="53"/>
      <c r="I302" s="53"/>
      <c r="J302" s="518"/>
      <c r="K302" s="53"/>
      <c r="L302" s="53"/>
      <c r="M302" s="53"/>
      <c r="N302" s="53"/>
      <c r="O302" s="518"/>
      <c r="P302" s="53"/>
      <c r="Q302" s="53"/>
      <c r="R302" s="53"/>
      <c r="S302" s="53"/>
      <c r="T302" s="518"/>
      <c r="U302" s="53"/>
      <c r="V302" s="53"/>
      <c r="W302" s="53"/>
      <c r="X302" s="53"/>
      <c r="Y302" s="518"/>
      <c r="Z302" s="53"/>
      <c r="AA302" s="53"/>
      <c r="AB302" s="53"/>
      <c r="AC302" s="53"/>
      <c r="AD302" s="518"/>
      <c r="AE302" s="53"/>
      <c r="AF302" s="53"/>
      <c r="AG302" s="53"/>
      <c r="AH302" s="53"/>
      <c r="AI302" s="518"/>
      <c r="AJ302" s="53"/>
      <c r="AK302" s="53"/>
      <c r="AL302" s="53"/>
      <c r="AM302" s="53"/>
      <c r="AN302" s="518"/>
      <c r="AO302" s="53"/>
      <c r="AP302" s="53"/>
      <c r="AQ302" s="53"/>
      <c r="AR302" s="53"/>
      <c r="AS302" s="518"/>
      <c r="AT302" s="53"/>
      <c r="AU302" s="53"/>
      <c r="AV302" s="53"/>
      <c r="AW302" s="53"/>
      <c r="AX302" s="518"/>
      <c r="AY302" s="53"/>
      <c r="AZ302" s="53"/>
      <c r="BA302" s="53"/>
      <c r="BB302" s="53"/>
      <c r="BC302" s="518"/>
      <c r="BD302" s="53"/>
      <c r="BE302" s="53"/>
      <c r="BF302" s="53"/>
      <c r="BG302" s="53"/>
      <c r="BH302" s="518"/>
      <c r="BI302" s="53"/>
      <c r="BJ302" s="53"/>
      <c r="BK302" s="53"/>
      <c r="BL302" s="53"/>
      <c r="BM302" s="518"/>
      <c r="BN302" s="53"/>
      <c r="BO302" s="53"/>
      <c r="BP302" s="53"/>
      <c r="BQ302" s="53"/>
      <c r="BR302" s="518"/>
      <c r="BS302" s="53"/>
      <c r="BT302" s="53"/>
      <c r="BU302" s="53"/>
      <c r="BV302" s="53"/>
      <c r="BW302" s="465"/>
      <c r="BZ302" s="410"/>
      <c r="CA302" s="410"/>
    </row>
    <row r="303" spans="1:79" x14ac:dyDescent="0.2">
      <c r="A303" s="377"/>
      <c r="B303" s="377"/>
      <c r="D303" s="465" t="s">
        <v>411</v>
      </c>
      <c r="F303" s="377"/>
      <c r="G303" s="53">
        <f>SUM(G304:G304)</f>
        <v>0</v>
      </c>
      <c r="H303" s="53"/>
      <c r="I303" s="53"/>
      <c r="J303" s="518"/>
      <c r="K303" s="53"/>
      <c r="L303" s="53">
        <f>SUM(L304:L304)</f>
        <v>0</v>
      </c>
      <c r="M303" s="53"/>
      <c r="N303" s="53"/>
      <c r="O303" s="518"/>
      <c r="P303" s="53"/>
      <c r="Q303" s="53">
        <f>SUM(Q304:Q304)</f>
        <v>0</v>
      </c>
      <c r="R303" s="53"/>
      <c r="S303" s="53"/>
      <c r="T303" s="518"/>
      <c r="U303" s="53"/>
      <c r="V303" s="53">
        <f>SUM(V304:V304)</f>
        <v>0</v>
      </c>
      <c r="W303" s="53"/>
      <c r="X303" s="53"/>
      <c r="Y303" s="518"/>
      <c r="Z303" s="53"/>
      <c r="AA303" s="53">
        <f>SUM(AA304:AA304)</f>
        <v>0</v>
      </c>
      <c r="AB303" s="53"/>
      <c r="AC303" s="53"/>
      <c r="AD303" s="518"/>
      <c r="AE303" s="53"/>
      <c r="AF303" s="53">
        <f>SUM(AF304:AF304)</f>
        <v>0</v>
      </c>
      <c r="AG303" s="53"/>
      <c r="AH303" s="53"/>
      <c r="AI303" s="518"/>
      <c r="AJ303" s="53"/>
      <c r="AK303" s="53">
        <f>SUM(AK304:AK304)</f>
        <v>0</v>
      </c>
      <c r="AL303" s="53"/>
      <c r="AM303" s="53"/>
      <c r="AN303" s="518"/>
      <c r="AO303" s="53"/>
      <c r="AP303" s="53">
        <f>SUM(AP304:AP304)</f>
        <v>0</v>
      </c>
      <c r="AQ303" s="53"/>
      <c r="AR303" s="53"/>
      <c r="AS303" s="518"/>
      <c r="AT303" s="53"/>
      <c r="AU303" s="53">
        <f>SUM(AU304:AU304)</f>
        <v>0</v>
      </c>
      <c r="AV303" s="53"/>
      <c r="AW303" s="53"/>
      <c r="AX303" s="518"/>
      <c r="AY303" s="53"/>
      <c r="AZ303" s="53">
        <f>SUM(AZ304:AZ304)</f>
        <v>0</v>
      </c>
      <c r="BA303" s="53"/>
      <c r="BB303" s="53"/>
      <c r="BC303" s="518"/>
      <c r="BD303" s="53"/>
      <c r="BE303" s="53">
        <f>SUM(BE304:BE304)</f>
        <v>0</v>
      </c>
      <c r="BF303" s="53"/>
      <c r="BG303" s="53"/>
      <c r="BH303" s="518"/>
      <c r="BI303" s="53"/>
      <c r="BJ303" s="53">
        <f>SUM(BJ304:BJ304)</f>
        <v>0</v>
      </c>
      <c r="BK303" s="53"/>
      <c r="BL303" s="53"/>
      <c r="BM303" s="518"/>
      <c r="BN303" s="53"/>
      <c r="BO303" s="53">
        <f>SUM(BO304:BO304)</f>
        <v>0</v>
      </c>
      <c r="BP303" s="53"/>
      <c r="BQ303" s="53"/>
      <c r="BR303" s="518"/>
      <c r="BS303" s="53"/>
      <c r="BT303" s="53">
        <f>SUM(BT304:BT304)</f>
        <v>0</v>
      </c>
      <c r="BU303" s="53"/>
      <c r="BV303" s="53"/>
      <c r="BW303" s="465"/>
      <c r="BZ303" s="410"/>
      <c r="CA303" s="410"/>
    </row>
    <row r="304" spans="1:79" x14ac:dyDescent="0.2">
      <c r="A304" s="377"/>
      <c r="B304" s="377"/>
      <c r="D304" s="465" t="s">
        <v>378</v>
      </c>
      <c r="F304" s="548"/>
      <c r="G304" s="493">
        <v>0</v>
      </c>
      <c r="H304" s="549"/>
      <c r="I304" s="53"/>
      <c r="J304" s="518"/>
      <c r="K304" s="550"/>
      <c r="L304" s="580">
        <v>0</v>
      </c>
      <c r="M304" s="549"/>
      <c r="N304" s="53"/>
      <c r="O304" s="518"/>
      <c r="P304" s="550"/>
      <c r="Q304" s="580">
        <v>0</v>
      </c>
      <c r="R304" s="549"/>
      <c r="S304" s="53"/>
      <c r="T304" s="518"/>
      <c r="U304" s="550"/>
      <c r="V304" s="580">
        <v>0</v>
      </c>
      <c r="W304" s="549"/>
      <c r="X304" s="52"/>
      <c r="Y304" s="518"/>
      <c r="Z304" s="550"/>
      <c r="AA304" s="580">
        <v>0</v>
      </c>
      <c r="AB304" s="549"/>
      <c r="AC304" s="49"/>
      <c r="AD304" s="518"/>
      <c r="AE304" s="550"/>
      <c r="AF304" s="580">
        <v>0</v>
      </c>
      <c r="AG304" s="549"/>
      <c r="AH304" s="53"/>
      <c r="AI304" s="518"/>
      <c r="AJ304" s="550"/>
      <c r="AK304" s="580">
        <v>0</v>
      </c>
      <c r="AL304" s="549"/>
      <c r="AM304" s="53"/>
      <c r="AN304" s="518"/>
      <c r="AO304" s="550"/>
      <c r="AP304" s="580">
        <v>0</v>
      </c>
      <c r="AQ304" s="549"/>
      <c r="AR304" s="53"/>
      <c r="AS304" s="518"/>
      <c r="AT304" s="550"/>
      <c r="AU304" s="580">
        <v>0</v>
      </c>
      <c r="AV304" s="549"/>
      <c r="AW304" s="53"/>
      <c r="AX304" s="518"/>
      <c r="AY304" s="550"/>
      <c r="AZ304" s="580">
        <v>0</v>
      </c>
      <c r="BA304" s="549"/>
      <c r="BB304" s="53"/>
      <c r="BC304" s="518"/>
      <c r="BD304" s="550"/>
      <c r="BE304" s="580">
        <v>0</v>
      </c>
      <c r="BF304" s="549"/>
      <c r="BG304" s="53"/>
      <c r="BH304" s="518"/>
      <c r="BI304" s="550"/>
      <c r="BJ304" s="580">
        <v>0</v>
      </c>
      <c r="BK304" s="549"/>
      <c r="BL304" s="53"/>
      <c r="BM304" s="518"/>
      <c r="BN304" s="550"/>
      <c r="BO304" s="580">
        <v>0</v>
      </c>
      <c r="BP304" s="549">
        <v>0</v>
      </c>
      <c r="BQ304" s="53"/>
      <c r="BR304" s="518"/>
      <c r="BS304" s="548">
        <v>54207</v>
      </c>
      <c r="BT304" s="580">
        <f>SUM(L304:BO304)</f>
        <v>0</v>
      </c>
      <c r="BU304" s="549">
        <v>0</v>
      </c>
      <c r="BV304" s="53"/>
      <c r="BW304" s="465"/>
      <c r="BZ304" s="410"/>
      <c r="CA304" s="410"/>
    </row>
    <row r="305" spans="1:79" x14ac:dyDescent="0.2">
      <c r="A305" s="377"/>
      <c r="B305" s="377"/>
      <c r="D305" s="465"/>
      <c r="F305" s="377"/>
      <c r="G305" s="53"/>
      <c r="H305" s="53"/>
      <c r="I305" s="53"/>
      <c r="J305" s="518"/>
      <c r="K305" s="53"/>
      <c r="L305" s="53"/>
      <c r="M305" s="53"/>
      <c r="N305" s="53"/>
      <c r="O305" s="518"/>
      <c r="P305" s="53"/>
      <c r="Q305" s="53"/>
      <c r="R305" s="53"/>
      <c r="S305" s="53"/>
      <c r="T305" s="518"/>
      <c r="U305" s="53"/>
      <c r="V305" s="53"/>
      <c r="W305" s="53"/>
      <c r="X305" s="53"/>
      <c r="Y305" s="518"/>
      <c r="Z305" s="53"/>
      <c r="AA305" s="53"/>
      <c r="AB305" s="53"/>
      <c r="AC305" s="53"/>
      <c r="AD305" s="518"/>
      <c r="AE305" s="53"/>
      <c r="AF305" s="53"/>
      <c r="AG305" s="53"/>
      <c r="AH305" s="53"/>
      <c r="AI305" s="518"/>
      <c r="AJ305" s="53"/>
      <c r="AK305" s="53"/>
      <c r="AL305" s="53"/>
      <c r="AM305" s="53"/>
      <c r="AN305" s="518"/>
      <c r="AO305" s="53"/>
      <c r="AP305" s="53"/>
      <c r="AQ305" s="53"/>
      <c r="AR305" s="53"/>
      <c r="AS305" s="518"/>
      <c r="AT305" s="53"/>
      <c r="AU305" s="53"/>
      <c r="AV305" s="53"/>
      <c r="AW305" s="53"/>
      <c r="AX305" s="518"/>
      <c r="AY305" s="53"/>
      <c r="AZ305" s="53"/>
      <c r="BA305" s="53"/>
      <c r="BB305" s="53"/>
      <c r="BC305" s="518"/>
      <c r="BD305" s="53"/>
      <c r="BE305" s="53"/>
      <c r="BF305" s="53"/>
      <c r="BG305" s="53"/>
      <c r="BH305" s="518"/>
      <c r="BI305" s="53"/>
      <c r="BJ305" s="53"/>
      <c r="BK305" s="53"/>
      <c r="BL305" s="53"/>
      <c r="BM305" s="518"/>
      <c r="BN305" s="53"/>
      <c r="BO305" s="53"/>
      <c r="BP305" s="53"/>
      <c r="BQ305" s="53"/>
      <c r="BR305" s="518"/>
      <c r="BS305" s="53"/>
      <c r="BT305" s="53"/>
      <c r="BU305" s="53"/>
      <c r="BV305" s="53"/>
      <c r="BW305" s="465"/>
      <c r="BZ305" s="410"/>
      <c r="CA305" s="410"/>
    </row>
    <row r="306" spans="1:79" ht="12.75" customHeight="1" x14ac:dyDescent="0.2">
      <c r="A306" s="377"/>
      <c r="B306" s="377"/>
      <c r="D306" s="465" t="s">
        <v>391</v>
      </c>
      <c r="F306" s="377"/>
      <c r="G306" s="53">
        <f>SUM(G307)</f>
        <v>0</v>
      </c>
      <c r="H306" s="53"/>
      <c r="I306" s="53"/>
      <c r="J306" s="518"/>
      <c r="K306" s="53"/>
      <c r="L306" s="53">
        <f>SUM(L307:L307)</f>
        <v>0</v>
      </c>
      <c r="M306" s="53"/>
      <c r="N306" s="53"/>
      <c r="O306" s="518"/>
      <c r="P306" s="53"/>
      <c r="Q306" s="53">
        <f>SUM(Q307:Q307)</f>
        <v>0</v>
      </c>
      <c r="R306" s="53"/>
      <c r="S306" s="53"/>
      <c r="T306" s="518"/>
      <c r="U306" s="53"/>
      <c r="V306" s="53">
        <f>SUM(V307:V307)</f>
        <v>0</v>
      </c>
      <c r="W306" s="53"/>
      <c r="X306" s="53"/>
      <c r="Y306" s="518"/>
      <c r="Z306" s="53"/>
      <c r="AA306" s="53">
        <f>SUM(AA307:AA307)</f>
        <v>0</v>
      </c>
      <c r="AB306" s="53"/>
      <c r="AC306" s="53"/>
      <c r="AD306" s="518"/>
      <c r="AE306" s="53"/>
      <c r="AF306" s="53">
        <f>SUM(AF307:AF307)</f>
        <v>0</v>
      </c>
      <c r="AG306" s="53"/>
      <c r="AH306" s="53"/>
      <c r="AI306" s="518"/>
      <c r="AJ306" s="53"/>
      <c r="AK306" s="53">
        <f>SUM(AK307:AK307)</f>
        <v>0</v>
      </c>
      <c r="AL306" s="53"/>
      <c r="AM306" s="53"/>
      <c r="AN306" s="518"/>
      <c r="AO306" s="53"/>
      <c r="AP306" s="53">
        <f>SUM(AP307:AP307)</f>
        <v>0</v>
      </c>
      <c r="AQ306" s="53"/>
      <c r="AR306" s="53"/>
      <c r="AS306" s="518"/>
      <c r="AT306" s="53"/>
      <c r="AU306" s="53">
        <f>SUM(AU307:AU307)</f>
        <v>0</v>
      </c>
      <c r="AV306" s="53"/>
      <c r="AW306" s="53"/>
      <c r="AX306" s="518"/>
      <c r="AY306" s="53"/>
      <c r="AZ306" s="53">
        <f>SUM(AZ307:AZ307)</f>
        <v>0</v>
      </c>
      <c r="BA306" s="53"/>
      <c r="BB306" s="53"/>
      <c r="BC306" s="518"/>
      <c r="BD306" s="53"/>
      <c r="BE306" s="53">
        <f>SUM(BE307:BE307)</f>
        <v>0</v>
      </c>
      <c r="BF306" s="53"/>
      <c r="BG306" s="53"/>
      <c r="BH306" s="518"/>
      <c r="BI306" s="53"/>
      <c r="BJ306" s="53">
        <f>SUM(BJ307:BJ307)</f>
        <v>0</v>
      </c>
      <c r="BK306" s="53"/>
      <c r="BL306" s="53"/>
      <c r="BM306" s="518"/>
      <c r="BN306" s="53"/>
      <c r="BO306" s="53">
        <f>SUM(BO307:BO307)</f>
        <v>0</v>
      </c>
      <c r="BP306" s="53"/>
      <c r="BQ306" s="53"/>
      <c r="BR306" s="518"/>
      <c r="BS306" s="53"/>
      <c r="BT306" s="53">
        <f>SUM(BT307:BT307)</f>
        <v>0</v>
      </c>
      <c r="BU306" s="53"/>
      <c r="BV306" s="53"/>
      <c r="BW306" s="465"/>
      <c r="BZ306" s="410"/>
      <c r="CA306" s="410"/>
    </row>
    <row r="307" spans="1:79" ht="12.75" customHeight="1" x14ac:dyDescent="0.2">
      <c r="A307" s="377"/>
      <c r="B307" s="377"/>
      <c r="D307" s="465" t="s">
        <v>378</v>
      </c>
      <c r="F307" s="548"/>
      <c r="G307" s="493">
        <v>0</v>
      </c>
      <c r="H307" s="549"/>
      <c r="I307" s="53"/>
      <c r="J307" s="518"/>
      <c r="K307" s="550"/>
      <c r="L307" s="493">
        <v>0</v>
      </c>
      <c r="M307" s="549"/>
      <c r="N307" s="53"/>
      <c r="O307" s="518"/>
      <c r="P307" s="550"/>
      <c r="Q307" s="493">
        <v>0</v>
      </c>
      <c r="R307" s="549"/>
      <c r="S307" s="53"/>
      <c r="T307" s="518"/>
      <c r="U307" s="550"/>
      <c r="V307" s="493">
        <v>0</v>
      </c>
      <c r="W307" s="549"/>
      <c r="X307" s="53"/>
      <c r="Y307" s="518"/>
      <c r="Z307" s="550"/>
      <c r="AA307" s="493">
        <v>0</v>
      </c>
      <c r="AB307" s="549"/>
      <c r="AC307" s="53"/>
      <c r="AD307" s="518"/>
      <c r="AE307" s="550"/>
      <c r="AF307" s="493">
        <v>0</v>
      </c>
      <c r="AG307" s="549"/>
      <c r="AH307" s="53"/>
      <c r="AI307" s="518"/>
      <c r="AJ307" s="550"/>
      <c r="AK307" s="493">
        <v>0</v>
      </c>
      <c r="AL307" s="549"/>
      <c r="AM307" s="53"/>
      <c r="AN307" s="518"/>
      <c r="AO307" s="550"/>
      <c r="AP307" s="493">
        <v>0</v>
      </c>
      <c r="AQ307" s="549"/>
      <c r="AR307" s="53"/>
      <c r="AS307" s="518"/>
      <c r="AT307" s="550"/>
      <c r="AU307" s="493">
        <v>0</v>
      </c>
      <c r="AV307" s="549"/>
      <c r="AW307" s="53"/>
      <c r="AX307" s="518"/>
      <c r="AY307" s="550"/>
      <c r="AZ307" s="493">
        <v>0</v>
      </c>
      <c r="BA307" s="549"/>
      <c r="BB307" s="53"/>
      <c r="BC307" s="518"/>
      <c r="BD307" s="550"/>
      <c r="BE307" s="493">
        <v>0</v>
      </c>
      <c r="BF307" s="549"/>
      <c r="BG307" s="53"/>
      <c r="BH307" s="518"/>
      <c r="BI307" s="550"/>
      <c r="BJ307" s="493">
        <v>0</v>
      </c>
      <c r="BK307" s="549"/>
      <c r="BL307" s="53"/>
      <c r="BM307" s="518"/>
      <c r="BN307" s="550"/>
      <c r="BO307" s="493">
        <v>0</v>
      </c>
      <c r="BP307" s="549"/>
      <c r="BQ307" s="53"/>
      <c r="BR307" s="518"/>
      <c r="BS307" s="550"/>
      <c r="BT307" s="493">
        <f>SUM(L307:BO307)</f>
        <v>0</v>
      </c>
      <c r="BU307" s="549"/>
      <c r="BV307" s="53"/>
      <c r="BW307" s="465"/>
      <c r="BZ307" s="410"/>
      <c r="CA307" s="410"/>
    </row>
    <row r="308" spans="1:79" ht="12.75" customHeight="1" x14ac:dyDescent="0.2">
      <c r="A308" s="377"/>
      <c r="B308" s="377"/>
      <c r="D308" s="465"/>
      <c r="F308" s="377"/>
      <c r="G308" s="53"/>
      <c r="H308" s="53"/>
      <c r="I308" s="53"/>
      <c r="J308" s="518"/>
      <c r="K308" s="53"/>
      <c r="L308" s="53"/>
      <c r="M308" s="53"/>
      <c r="N308" s="53"/>
      <c r="O308" s="518"/>
      <c r="P308" s="53"/>
      <c r="Q308" s="53"/>
      <c r="R308" s="53"/>
      <c r="S308" s="53"/>
      <c r="T308" s="518"/>
      <c r="U308" s="53"/>
      <c r="V308" s="53"/>
      <c r="W308" s="53"/>
      <c r="X308" s="53"/>
      <c r="Y308" s="518"/>
      <c r="Z308" s="53"/>
      <c r="AA308" s="53"/>
      <c r="AB308" s="53"/>
      <c r="AC308" s="53"/>
      <c r="AD308" s="518"/>
      <c r="AE308" s="53"/>
      <c r="AF308" s="53"/>
      <c r="AG308" s="53"/>
      <c r="AH308" s="53"/>
      <c r="AI308" s="518"/>
      <c r="AJ308" s="53"/>
      <c r="AK308" s="53"/>
      <c r="AL308" s="53"/>
      <c r="AM308" s="53"/>
      <c r="AN308" s="518"/>
      <c r="AO308" s="53"/>
      <c r="AP308" s="53"/>
      <c r="AQ308" s="53"/>
      <c r="AR308" s="53"/>
      <c r="AS308" s="518"/>
      <c r="AT308" s="53"/>
      <c r="AU308" s="53"/>
      <c r="AV308" s="53"/>
      <c r="AW308" s="53"/>
      <c r="AX308" s="518"/>
      <c r="AY308" s="53"/>
      <c r="AZ308" s="53"/>
      <c r="BA308" s="53"/>
      <c r="BB308" s="53"/>
      <c r="BC308" s="518"/>
      <c r="BD308" s="53"/>
      <c r="BE308" s="53"/>
      <c r="BF308" s="53"/>
      <c r="BG308" s="53"/>
      <c r="BH308" s="518"/>
      <c r="BI308" s="53"/>
      <c r="BJ308" s="53"/>
      <c r="BK308" s="53"/>
      <c r="BL308" s="53"/>
      <c r="BM308" s="518"/>
      <c r="BN308" s="53"/>
      <c r="BO308" s="53"/>
      <c r="BP308" s="53"/>
      <c r="BQ308" s="53"/>
      <c r="BR308" s="518"/>
      <c r="BS308" s="53"/>
      <c r="BT308" s="53"/>
      <c r="BU308" s="53"/>
      <c r="BV308" s="53"/>
      <c r="BW308" s="465"/>
      <c r="BZ308" s="410"/>
      <c r="CA308" s="410"/>
    </row>
    <row r="309" spans="1:79" hidden="1" x14ac:dyDescent="0.2">
      <c r="A309" s="377"/>
      <c r="B309" s="377"/>
      <c r="D309" s="465" t="s">
        <v>440</v>
      </c>
      <c r="F309" s="377"/>
      <c r="G309" s="53">
        <v>0</v>
      </c>
      <c r="H309" s="53"/>
      <c r="I309" s="53"/>
      <c r="J309" s="518"/>
      <c r="K309" s="377"/>
      <c r="L309" s="53">
        <f>SUM(L310)</f>
        <v>0</v>
      </c>
      <c r="M309" s="53"/>
      <c r="N309" s="53"/>
      <c r="O309" s="518"/>
      <c r="P309" s="377"/>
      <c r="Q309" s="53">
        <f>SUM(Q310)</f>
        <v>0</v>
      </c>
      <c r="R309" s="53"/>
      <c r="S309" s="53"/>
      <c r="T309" s="518"/>
      <c r="U309" s="377"/>
      <c r="V309" s="53">
        <f>SUM(V310)</f>
        <v>0</v>
      </c>
      <c r="W309" s="53"/>
      <c r="X309" s="53"/>
      <c r="Y309" s="518"/>
      <c r="Z309" s="377"/>
      <c r="AA309" s="53">
        <f>SUM(AA310)</f>
        <v>0</v>
      </c>
      <c r="AB309" s="53"/>
      <c r="AC309" s="53"/>
      <c r="AD309" s="518"/>
      <c r="AE309" s="377"/>
      <c r="AF309" s="53">
        <f>SUM(AF310)</f>
        <v>0</v>
      </c>
      <c r="AG309" s="53"/>
      <c r="AH309" s="53"/>
      <c r="AI309" s="518"/>
      <c r="AJ309" s="377"/>
      <c r="AK309" s="53">
        <f>SUM(AK310)</f>
        <v>0</v>
      </c>
      <c r="AL309" s="53"/>
      <c r="AM309" s="53"/>
      <c r="AN309" s="518"/>
      <c r="AO309" s="377"/>
      <c r="AP309" s="53">
        <f>SUM(AP310)</f>
        <v>0</v>
      </c>
      <c r="AQ309" s="53"/>
      <c r="AR309" s="53"/>
      <c r="AS309" s="518"/>
      <c r="AT309" s="377"/>
      <c r="AU309" s="53">
        <f>SUM(AU310)</f>
        <v>0</v>
      </c>
      <c r="AV309" s="53"/>
      <c r="AW309" s="53"/>
      <c r="AX309" s="518"/>
      <c r="AY309" s="377"/>
      <c r="AZ309" s="53">
        <f>SUM(AZ310)</f>
        <v>0</v>
      </c>
      <c r="BA309" s="53"/>
      <c r="BB309" s="53"/>
      <c r="BC309" s="518"/>
      <c r="BD309" s="377"/>
      <c r="BE309" s="53">
        <f>SUM(BE310)</f>
        <v>0</v>
      </c>
      <c r="BF309" s="53"/>
      <c r="BG309" s="53"/>
      <c r="BH309" s="518"/>
      <c r="BI309" s="377"/>
      <c r="BJ309" s="53">
        <f>SUM(BJ310)</f>
        <v>0</v>
      </c>
      <c r="BK309" s="53"/>
      <c r="BL309" s="53"/>
      <c r="BM309" s="518"/>
      <c r="BN309" s="377"/>
      <c r="BO309" s="53">
        <f>SUM(BO310)</f>
        <v>0</v>
      </c>
      <c r="BP309" s="53"/>
      <c r="BQ309" s="53"/>
      <c r="BR309" s="518"/>
      <c r="BS309" s="377"/>
      <c r="BT309" s="53">
        <f>SUM(BT310:BT310)</f>
        <v>0</v>
      </c>
      <c r="BU309" s="53"/>
      <c r="BV309" s="53"/>
      <c r="BW309" s="465"/>
      <c r="BZ309" s="410"/>
      <c r="CA309" s="410"/>
    </row>
    <row r="310" spans="1:79" hidden="1" x14ac:dyDescent="0.2">
      <c r="A310" s="377"/>
      <c r="B310" s="377"/>
      <c r="D310" s="465" t="s">
        <v>378</v>
      </c>
      <c r="F310" s="548"/>
      <c r="G310" s="493">
        <v>0</v>
      </c>
      <c r="H310" s="549"/>
      <c r="I310" s="53"/>
      <c r="J310" s="518"/>
      <c r="K310" s="548"/>
      <c r="L310" s="493">
        <v>0</v>
      </c>
      <c r="M310" s="549"/>
      <c r="N310" s="53"/>
      <c r="O310" s="518"/>
      <c r="P310" s="548"/>
      <c r="Q310" s="493">
        <v>0</v>
      </c>
      <c r="R310" s="549"/>
      <c r="S310" s="53"/>
      <c r="T310" s="518"/>
      <c r="U310" s="548"/>
      <c r="V310" s="493">
        <v>0</v>
      </c>
      <c r="W310" s="549"/>
      <c r="X310" s="53"/>
      <c r="Y310" s="518"/>
      <c r="Z310" s="548"/>
      <c r="AA310" s="493">
        <v>0</v>
      </c>
      <c r="AB310" s="549"/>
      <c r="AC310" s="53"/>
      <c r="AD310" s="518"/>
      <c r="AE310" s="548"/>
      <c r="AF310" s="493">
        <v>0</v>
      </c>
      <c r="AG310" s="549"/>
      <c r="AH310" s="53"/>
      <c r="AI310" s="518"/>
      <c r="AJ310" s="548"/>
      <c r="AK310" s="493">
        <v>0</v>
      </c>
      <c r="AL310" s="549"/>
      <c r="AM310" s="53"/>
      <c r="AN310" s="518"/>
      <c r="AO310" s="548"/>
      <c r="AP310" s="493">
        <v>0</v>
      </c>
      <c r="AQ310" s="549"/>
      <c r="AR310" s="53"/>
      <c r="AS310" s="518"/>
      <c r="AT310" s="548"/>
      <c r="AU310" s="493">
        <v>0</v>
      </c>
      <c r="AV310" s="549"/>
      <c r="AW310" s="53"/>
      <c r="AX310" s="518"/>
      <c r="AY310" s="548"/>
      <c r="AZ310" s="493">
        <v>0</v>
      </c>
      <c r="BA310" s="549"/>
      <c r="BB310" s="53"/>
      <c r="BC310" s="518"/>
      <c r="BD310" s="548"/>
      <c r="BE310" s="493">
        <v>0</v>
      </c>
      <c r="BF310" s="549"/>
      <c r="BG310" s="53"/>
      <c r="BH310" s="518"/>
      <c r="BI310" s="548"/>
      <c r="BJ310" s="493">
        <v>0</v>
      </c>
      <c r="BK310" s="549"/>
      <c r="BL310" s="53"/>
      <c r="BM310" s="518"/>
      <c r="BN310" s="548"/>
      <c r="BO310" s="493">
        <v>0</v>
      </c>
      <c r="BP310" s="549"/>
      <c r="BQ310" s="53"/>
      <c r="BR310" s="518"/>
      <c r="BS310" s="548"/>
      <c r="BT310" s="493">
        <f>SUM(L310:BO310)</f>
        <v>0</v>
      </c>
      <c r="BU310" s="549"/>
      <c r="BV310" s="53"/>
      <c r="BW310" s="465"/>
      <c r="BZ310" s="410"/>
      <c r="CA310" s="410"/>
    </row>
    <row r="311" spans="1:79" hidden="1" x14ac:dyDescent="0.2">
      <c r="A311" s="377"/>
      <c r="B311" s="377"/>
      <c r="D311" s="465"/>
      <c r="F311" s="377"/>
      <c r="G311" s="53"/>
      <c r="H311" s="53"/>
      <c r="I311" s="53"/>
      <c r="J311" s="518"/>
      <c r="K311" s="53"/>
      <c r="L311" s="53"/>
      <c r="M311" s="53"/>
      <c r="N311" s="53"/>
      <c r="O311" s="518"/>
      <c r="P311" s="53"/>
      <c r="Q311" s="53"/>
      <c r="R311" s="53"/>
      <c r="S311" s="53"/>
      <c r="T311" s="518"/>
      <c r="U311" s="53"/>
      <c r="V311" s="53"/>
      <c r="W311" s="53"/>
      <c r="X311" s="53"/>
      <c r="Y311" s="518"/>
      <c r="Z311" s="53"/>
      <c r="AA311" s="53"/>
      <c r="AB311" s="53"/>
      <c r="AC311" s="53"/>
      <c r="AD311" s="518"/>
      <c r="AE311" s="53"/>
      <c r="AF311" s="53"/>
      <c r="AG311" s="53"/>
      <c r="AH311" s="53"/>
      <c r="AI311" s="518"/>
      <c r="AJ311" s="53"/>
      <c r="AK311" s="53"/>
      <c r="AL311" s="53"/>
      <c r="AM311" s="53"/>
      <c r="AN311" s="518"/>
      <c r="AO311" s="53"/>
      <c r="AP311" s="53"/>
      <c r="AQ311" s="53"/>
      <c r="AR311" s="53"/>
      <c r="AS311" s="518"/>
      <c r="AT311" s="53"/>
      <c r="AU311" s="53"/>
      <c r="AV311" s="53"/>
      <c r="AW311" s="53"/>
      <c r="AX311" s="518"/>
      <c r="AY311" s="53"/>
      <c r="AZ311" s="53"/>
      <c r="BA311" s="53"/>
      <c r="BB311" s="53"/>
      <c r="BC311" s="518"/>
      <c r="BD311" s="53"/>
      <c r="BE311" s="53"/>
      <c r="BF311" s="53"/>
      <c r="BG311" s="53"/>
      <c r="BH311" s="518"/>
      <c r="BI311" s="53"/>
      <c r="BJ311" s="53"/>
      <c r="BK311" s="53"/>
      <c r="BL311" s="53"/>
      <c r="BM311" s="518"/>
      <c r="BN311" s="53"/>
      <c r="BO311" s="53"/>
      <c r="BP311" s="53"/>
      <c r="BQ311" s="53"/>
      <c r="BR311" s="518"/>
      <c r="BS311" s="53"/>
      <c r="BT311" s="53"/>
      <c r="BU311" s="53"/>
      <c r="BV311" s="53"/>
      <c r="BW311" s="465"/>
      <c r="BZ311" s="410"/>
      <c r="CA311" s="410"/>
    </row>
    <row r="312" spans="1:79" ht="12.75" hidden="1" customHeight="1" x14ac:dyDescent="0.2">
      <c r="A312" s="377"/>
      <c r="B312" s="377"/>
      <c r="D312" s="465" t="s">
        <v>441</v>
      </c>
      <c r="F312" s="377"/>
      <c r="G312" s="53">
        <v>0</v>
      </c>
      <c r="H312" s="53"/>
      <c r="I312" s="53"/>
      <c r="J312" s="518"/>
      <c r="K312" s="53"/>
      <c r="L312" s="53">
        <f>SUM(L313:L313)</f>
        <v>0</v>
      </c>
      <c r="M312" s="53"/>
      <c r="N312" s="53"/>
      <c r="O312" s="518"/>
      <c r="P312" s="53"/>
      <c r="Q312" s="53">
        <f>SUM(Q313:Q313)</f>
        <v>0</v>
      </c>
      <c r="R312" s="53"/>
      <c r="S312" s="53"/>
      <c r="T312" s="518"/>
      <c r="U312" s="53"/>
      <c r="V312" s="53">
        <f>SUM(V313:V313)</f>
        <v>0</v>
      </c>
      <c r="W312" s="53"/>
      <c r="X312" s="53"/>
      <c r="Y312" s="518"/>
      <c r="Z312" s="53"/>
      <c r="AA312" s="53">
        <f>SUM(AA313:AA313)</f>
        <v>0</v>
      </c>
      <c r="AB312" s="53"/>
      <c r="AC312" s="53"/>
      <c r="AD312" s="518"/>
      <c r="AE312" s="53"/>
      <c r="AF312" s="53">
        <f>SUM(AF313:AF313)</f>
        <v>0</v>
      </c>
      <c r="AG312" s="53"/>
      <c r="AH312" s="53"/>
      <c r="AI312" s="518"/>
      <c r="AJ312" s="53"/>
      <c r="AK312" s="53">
        <f>SUM(AK313:AK313)</f>
        <v>0</v>
      </c>
      <c r="AL312" s="53"/>
      <c r="AM312" s="53"/>
      <c r="AN312" s="518"/>
      <c r="AO312" s="53"/>
      <c r="AP312" s="53">
        <f>SUM(AP313:AP313)</f>
        <v>0</v>
      </c>
      <c r="AQ312" s="53"/>
      <c r="AR312" s="53"/>
      <c r="AS312" s="518"/>
      <c r="AT312" s="53"/>
      <c r="AU312" s="53">
        <f>SUM(AU313:AU313)</f>
        <v>0</v>
      </c>
      <c r="AV312" s="53"/>
      <c r="AW312" s="53"/>
      <c r="AX312" s="518"/>
      <c r="AY312" s="53"/>
      <c r="AZ312" s="53">
        <f>SUM(AZ313:AZ313)</f>
        <v>0</v>
      </c>
      <c r="BA312" s="53"/>
      <c r="BB312" s="53"/>
      <c r="BC312" s="518"/>
      <c r="BD312" s="53"/>
      <c r="BE312" s="53">
        <f>SUM(BE313:BE313)</f>
        <v>0</v>
      </c>
      <c r="BF312" s="53"/>
      <c r="BG312" s="53"/>
      <c r="BH312" s="518"/>
      <c r="BI312" s="53"/>
      <c r="BJ312" s="53">
        <f>SUM(BJ313:BJ313)</f>
        <v>0</v>
      </c>
      <c r="BK312" s="53"/>
      <c r="BL312" s="53"/>
      <c r="BM312" s="518"/>
      <c r="BN312" s="53"/>
      <c r="BO312" s="53">
        <f>SUM(BO313:BO313)</f>
        <v>0</v>
      </c>
      <c r="BP312" s="53"/>
      <c r="BQ312" s="53"/>
      <c r="BR312" s="518"/>
      <c r="BS312" s="53"/>
      <c r="BT312" s="53">
        <f>SUM(BT313:BT313)</f>
        <v>0</v>
      </c>
      <c r="BU312" s="53"/>
      <c r="BV312" s="53"/>
      <c r="BW312" s="465"/>
      <c r="BZ312" s="410"/>
      <c r="CA312" s="410"/>
    </row>
    <row r="313" spans="1:79" ht="12.75" hidden="1" customHeight="1" x14ac:dyDescent="0.2">
      <c r="A313" s="377"/>
      <c r="B313" s="377"/>
      <c r="D313" s="465" t="s">
        <v>378</v>
      </c>
      <c r="F313" s="548"/>
      <c r="G313" s="493">
        <v>0</v>
      </c>
      <c r="H313" s="549"/>
      <c r="I313" s="53"/>
      <c r="J313" s="518"/>
      <c r="K313" s="550"/>
      <c r="L313" s="493">
        <v>0</v>
      </c>
      <c r="M313" s="549"/>
      <c r="N313" s="53"/>
      <c r="O313" s="518"/>
      <c r="P313" s="550"/>
      <c r="Q313" s="493">
        <v>0</v>
      </c>
      <c r="R313" s="549"/>
      <c r="S313" s="53"/>
      <c r="T313" s="518"/>
      <c r="U313" s="550"/>
      <c r="V313" s="493">
        <v>0</v>
      </c>
      <c r="W313" s="549"/>
      <c r="X313" s="53"/>
      <c r="Y313" s="518"/>
      <c r="Z313" s="550"/>
      <c r="AA313" s="493">
        <v>0</v>
      </c>
      <c r="AB313" s="549"/>
      <c r="AC313" s="53"/>
      <c r="AD313" s="518"/>
      <c r="AE313" s="550"/>
      <c r="AF313" s="493">
        <v>0</v>
      </c>
      <c r="AG313" s="549"/>
      <c r="AH313" s="53"/>
      <c r="AI313" s="518"/>
      <c r="AJ313" s="550"/>
      <c r="AK313" s="493">
        <v>0</v>
      </c>
      <c r="AL313" s="549"/>
      <c r="AM313" s="53"/>
      <c r="AN313" s="518"/>
      <c r="AO313" s="550"/>
      <c r="AP313" s="493">
        <v>0</v>
      </c>
      <c r="AQ313" s="549"/>
      <c r="AR313" s="53"/>
      <c r="AS313" s="518"/>
      <c r="AT313" s="550"/>
      <c r="AU313" s="493">
        <v>0</v>
      </c>
      <c r="AV313" s="549"/>
      <c r="AW313" s="53"/>
      <c r="AX313" s="518"/>
      <c r="AY313" s="550"/>
      <c r="AZ313" s="493">
        <v>0</v>
      </c>
      <c r="BA313" s="549"/>
      <c r="BB313" s="53"/>
      <c r="BC313" s="518"/>
      <c r="BD313" s="550"/>
      <c r="BE313" s="493">
        <v>0</v>
      </c>
      <c r="BF313" s="549"/>
      <c r="BG313" s="53"/>
      <c r="BH313" s="518"/>
      <c r="BI313" s="550"/>
      <c r="BJ313" s="493">
        <v>0</v>
      </c>
      <c r="BK313" s="549"/>
      <c r="BL313" s="53"/>
      <c r="BM313" s="518"/>
      <c r="BN313" s="550"/>
      <c r="BO313" s="493">
        <v>0</v>
      </c>
      <c r="BP313" s="549"/>
      <c r="BQ313" s="53"/>
      <c r="BR313" s="518"/>
      <c r="BS313" s="550"/>
      <c r="BT313" s="493">
        <f>SUM(L313:BO313)</f>
        <v>0</v>
      </c>
      <c r="BU313" s="549"/>
      <c r="BV313" s="53"/>
      <c r="BW313" s="465"/>
      <c r="BZ313" s="410"/>
      <c r="CA313" s="410"/>
    </row>
    <row r="314" spans="1:79" ht="12.75" hidden="1" customHeight="1" x14ac:dyDescent="0.2">
      <c r="A314" s="377"/>
      <c r="B314" s="377"/>
      <c r="D314" s="465"/>
      <c r="F314" s="377"/>
      <c r="G314" s="53"/>
      <c r="H314" s="53"/>
      <c r="I314" s="53"/>
      <c r="J314" s="518"/>
      <c r="K314" s="53"/>
      <c r="L314" s="53"/>
      <c r="M314" s="53"/>
      <c r="N314" s="53"/>
      <c r="O314" s="518"/>
      <c r="P314" s="53"/>
      <c r="Q314" s="53"/>
      <c r="R314" s="53"/>
      <c r="S314" s="53"/>
      <c r="T314" s="518"/>
      <c r="U314" s="53"/>
      <c r="V314" s="53"/>
      <c r="W314" s="53"/>
      <c r="X314" s="53"/>
      <c r="Y314" s="518"/>
      <c r="Z314" s="53"/>
      <c r="AA314" s="53"/>
      <c r="AB314" s="53"/>
      <c r="AC314" s="53"/>
      <c r="AD314" s="518"/>
      <c r="AE314" s="53"/>
      <c r="AF314" s="53"/>
      <c r="AG314" s="53"/>
      <c r="AH314" s="53"/>
      <c r="AI314" s="518"/>
      <c r="AJ314" s="53"/>
      <c r="AK314" s="53"/>
      <c r="AL314" s="53"/>
      <c r="AM314" s="53"/>
      <c r="AN314" s="518"/>
      <c r="AO314" s="53"/>
      <c r="AP314" s="53"/>
      <c r="AQ314" s="53"/>
      <c r="AR314" s="53"/>
      <c r="AS314" s="518"/>
      <c r="AT314" s="53"/>
      <c r="AU314" s="53"/>
      <c r="AV314" s="53"/>
      <c r="AW314" s="53"/>
      <c r="AX314" s="518"/>
      <c r="AY314" s="53"/>
      <c r="AZ314" s="53"/>
      <c r="BA314" s="53"/>
      <c r="BB314" s="53"/>
      <c r="BC314" s="518"/>
      <c r="BD314" s="53"/>
      <c r="BE314" s="53"/>
      <c r="BF314" s="53"/>
      <c r="BG314" s="53"/>
      <c r="BH314" s="518"/>
      <c r="BI314" s="53"/>
      <c r="BJ314" s="53"/>
      <c r="BK314" s="53"/>
      <c r="BL314" s="53"/>
      <c r="BM314" s="518"/>
      <c r="BN314" s="53"/>
      <c r="BO314" s="53"/>
      <c r="BP314" s="53"/>
      <c r="BQ314" s="53"/>
      <c r="BR314" s="518"/>
      <c r="BS314" s="53"/>
      <c r="BT314" s="53"/>
      <c r="BU314" s="53"/>
      <c r="BV314" s="53"/>
      <c r="BW314" s="465"/>
      <c r="BZ314" s="410"/>
      <c r="CA314" s="410"/>
    </row>
    <row r="315" spans="1:79" s="410" customFormat="1" ht="12.75" hidden="1" customHeight="1" x14ac:dyDescent="0.2">
      <c r="A315" s="411"/>
      <c r="B315" s="411"/>
      <c r="D315" s="253" t="s">
        <v>372</v>
      </c>
      <c r="E315" s="577"/>
      <c r="F315" s="254"/>
      <c r="G315" s="53">
        <f>SUM(G316)</f>
        <v>0</v>
      </c>
      <c r="H315" s="53"/>
      <c r="I315" s="53"/>
      <c r="J315" s="518"/>
      <c r="K315" s="53"/>
      <c r="L315" s="53">
        <f>SUM(L316:L316)</f>
        <v>0</v>
      </c>
      <c r="M315" s="53"/>
      <c r="N315" s="53"/>
      <c r="O315" s="518"/>
      <c r="P315" s="53"/>
      <c r="Q315" s="53">
        <f>SUM(Q316:Q316)</f>
        <v>0</v>
      </c>
      <c r="R315" s="53"/>
      <c r="S315" s="53"/>
      <c r="T315" s="518"/>
      <c r="U315" s="53"/>
      <c r="V315" s="53">
        <f>SUM(V316:V316)</f>
        <v>0</v>
      </c>
      <c r="W315" s="53"/>
      <c r="X315" s="53"/>
      <c r="Y315" s="518"/>
      <c r="Z315" s="53"/>
      <c r="AA315" s="53">
        <f>SUM(AA316:AA316)</f>
        <v>0</v>
      </c>
      <c r="AB315" s="53"/>
      <c r="AC315" s="53"/>
      <c r="AD315" s="518"/>
      <c r="AE315" s="53"/>
      <c r="AF315" s="53">
        <f>SUM(AF316:AF316)</f>
        <v>0</v>
      </c>
      <c r="AG315" s="53"/>
      <c r="AH315" s="53"/>
      <c r="AI315" s="518"/>
      <c r="AJ315" s="53"/>
      <c r="AK315" s="53">
        <f>SUM(AK316:AK316)</f>
        <v>0</v>
      </c>
      <c r="AL315" s="53"/>
      <c r="AM315" s="53"/>
      <c r="AN315" s="518"/>
      <c r="AO315" s="53"/>
      <c r="AP315" s="53">
        <f>SUM(AP316:AP316)</f>
        <v>0</v>
      </c>
      <c r="AQ315" s="53"/>
      <c r="AR315" s="53"/>
      <c r="AS315" s="518"/>
      <c r="AT315" s="53"/>
      <c r="AU315" s="53">
        <f>SUM(AU316:AU316)</f>
        <v>0</v>
      </c>
      <c r="AV315" s="53"/>
      <c r="AW315" s="53"/>
      <c r="AX315" s="518"/>
      <c r="AY315" s="53"/>
      <c r="AZ315" s="53">
        <f>SUM(AZ316:AZ316)</f>
        <v>0</v>
      </c>
      <c r="BA315" s="53"/>
      <c r="BB315" s="53"/>
      <c r="BC315" s="518"/>
      <c r="BD315" s="53"/>
      <c r="BE315" s="53">
        <f>SUM(BE316:BE316)</f>
        <v>0</v>
      </c>
      <c r="BF315" s="53"/>
      <c r="BG315" s="53"/>
      <c r="BH315" s="518"/>
      <c r="BI315" s="53"/>
      <c r="BJ315" s="53">
        <f>SUM(BJ316:BJ316)</f>
        <v>0</v>
      </c>
      <c r="BK315" s="53"/>
      <c r="BL315" s="53"/>
      <c r="BM315" s="518"/>
      <c r="BN315" s="53"/>
      <c r="BO315" s="53">
        <f>SUM(BO316:BO316)</f>
        <v>0</v>
      </c>
      <c r="BP315" s="53"/>
      <c r="BQ315" s="53"/>
      <c r="BR315" s="518"/>
      <c r="BS315" s="53"/>
      <c r="BT315" s="53">
        <f>SUM(BT316:BT316)</f>
        <v>0</v>
      </c>
      <c r="BU315" s="53"/>
      <c r="BV315" s="53"/>
      <c r="BW315" s="455"/>
      <c r="BY315" s="38"/>
    </row>
    <row r="316" spans="1:79" ht="12.75" hidden="1" customHeight="1" x14ac:dyDescent="0.2">
      <c r="A316" s="377"/>
      <c r="B316" s="377"/>
      <c r="D316" s="465" t="s">
        <v>378</v>
      </c>
      <c r="E316" s="572"/>
      <c r="F316" s="578"/>
      <c r="G316" s="493">
        <v>0</v>
      </c>
      <c r="H316" s="549"/>
      <c r="I316" s="53"/>
      <c r="J316" s="518"/>
      <c r="K316" s="550"/>
      <c r="L316" s="493">
        <f>L320</f>
        <v>0</v>
      </c>
      <c r="M316" s="549"/>
      <c r="N316" s="53"/>
      <c r="O316" s="518"/>
      <c r="P316" s="550"/>
      <c r="Q316" s="493">
        <f>Q320</f>
        <v>0</v>
      </c>
      <c r="R316" s="549"/>
      <c r="S316" s="53"/>
      <c r="T316" s="518"/>
      <c r="U316" s="550"/>
      <c r="V316" s="493">
        <f>V320</f>
        <v>0</v>
      </c>
      <c r="W316" s="549"/>
      <c r="X316" s="53"/>
      <c r="Y316" s="518"/>
      <c r="Z316" s="550"/>
      <c r="AA316" s="493">
        <f>AA320</f>
        <v>0</v>
      </c>
      <c r="AB316" s="549"/>
      <c r="AC316" s="53"/>
      <c r="AD316" s="518"/>
      <c r="AE316" s="550"/>
      <c r="AF316" s="493">
        <v>0</v>
      </c>
      <c r="AG316" s="549"/>
      <c r="AH316" s="53"/>
      <c r="AI316" s="518"/>
      <c r="AJ316" s="550"/>
      <c r="AK316" s="493">
        <f>AK320</f>
        <v>0</v>
      </c>
      <c r="AL316" s="549"/>
      <c r="AM316" s="53"/>
      <c r="AN316" s="518"/>
      <c r="AO316" s="550"/>
      <c r="AP316" s="493">
        <f>AP320</f>
        <v>0</v>
      </c>
      <c r="AQ316" s="549"/>
      <c r="AR316" s="53"/>
      <c r="AS316" s="518"/>
      <c r="AT316" s="550"/>
      <c r="AU316" s="493">
        <f>AU320</f>
        <v>0</v>
      </c>
      <c r="AV316" s="549"/>
      <c r="AW316" s="53"/>
      <c r="AX316" s="518"/>
      <c r="AY316" s="550"/>
      <c r="AZ316" s="493">
        <f>AZ320</f>
        <v>0</v>
      </c>
      <c r="BA316" s="549"/>
      <c r="BB316" s="53"/>
      <c r="BC316" s="518"/>
      <c r="BD316" s="550"/>
      <c r="BE316" s="493">
        <f>BE320</f>
        <v>0</v>
      </c>
      <c r="BF316" s="549"/>
      <c r="BG316" s="53"/>
      <c r="BH316" s="518"/>
      <c r="BI316" s="550"/>
      <c r="BJ316" s="493">
        <f>BJ320</f>
        <v>0</v>
      </c>
      <c r="BK316" s="549"/>
      <c r="BL316" s="53"/>
      <c r="BM316" s="518"/>
      <c r="BN316" s="550"/>
      <c r="BO316" s="493">
        <f>BO320</f>
        <v>0</v>
      </c>
      <c r="BP316" s="549"/>
      <c r="BQ316" s="53"/>
      <c r="BR316" s="518"/>
      <c r="BS316" s="550"/>
      <c r="BT316" s="493">
        <f>SUM(L316:BO316)</f>
        <v>0</v>
      </c>
      <c r="BU316" s="549"/>
      <c r="BV316" s="53"/>
      <c r="BW316" s="465"/>
      <c r="BZ316" s="410"/>
      <c r="CA316" s="410"/>
    </row>
    <row r="317" spans="1:79" ht="12.75" hidden="1" customHeight="1" x14ac:dyDescent="0.2">
      <c r="A317" s="377"/>
      <c r="B317" s="377"/>
      <c r="D317" s="465"/>
      <c r="F317" s="377"/>
      <c r="G317" s="53"/>
      <c r="H317" s="53"/>
      <c r="I317" s="53"/>
      <c r="J317" s="518"/>
      <c r="K317" s="53"/>
      <c r="L317" s="377"/>
      <c r="M317" s="377"/>
      <c r="N317" s="377"/>
      <c r="O317" s="417"/>
      <c r="P317" s="377"/>
      <c r="Q317" s="377"/>
      <c r="R317" s="377"/>
      <c r="S317" s="377"/>
      <c r="T317" s="417"/>
      <c r="U317" s="377"/>
      <c r="V317" s="377"/>
      <c r="W317" s="377"/>
      <c r="X317" s="377"/>
      <c r="Y317" s="417"/>
      <c r="Z317" s="377"/>
      <c r="AA317" s="377"/>
      <c r="AB317" s="377"/>
      <c r="AC317" s="377"/>
      <c r="AD317" s="417"/>
      <c r="AE317" s="377"/>
      <c r="AF317" s="377"/>
      <c r="AG317" s="377"/>
      <c r="AH317" s="377"/>
      <c r="AI317" s="417"/>
      <c r="AJ317" s="377"/>
      <c r="AK317" s="377"/>
      <c r="AL317" s="377"/>
      <c r="AM317" s="377"/>
      <c r="AN317" s="417"/>
      <c r="AO317" s="377"/>
      <c r="AP317" s="377"/>
      <c r="AQ317" s="377"/>
      <c r="AR317" s="377"/>
      <c r="AS317" s="417"/>
      <c r="AT317" s="377"/>
      <c r="AU317" s="377"/>
      <c r="AV317" s="377"/>
      <c r="AW317" s="377"/>
      <c r="AX317" s="417"/>
      <c r="AY317" s="377"/>
      <c r="AZ317" s="377"/>
      <c r="BA317" s="377"/>
      <c r="BB317" s="377"/>
      <c r="BC317" s="417"/>
      <c r="BD317" s="377"/>
      <c r="BE317" s="377"/>
      <c r="BF317" s="377"/>
      <c r="BG317" s="377"/>
      <c r="BH317" s="417"/>
      <c r="BI317" s="377"/>
      <c r="BJ317" s="377"/>
      <c r="BK317" s="377"/>
      <c r="BL317" s="377"/>
      <c r="BM317" s="417"/>
      <c r="BN317" s="377"/>
      <c r="BO317" s="377"/>
      <c r="BP317" s="377"/>
      <c r="BQ317" s="377"/>
      <c r="BR317" s="417"/>
      <c r="BS317" s="377"/>
      <c r="BT317" s="377"/>
      <c r="BU317" s="377"/>
      <c r="BV317" s="377"/>
      <c r="BW317" s="465"/>
      <c r="BZ317" s="410"/>
      <c r="CA317" s="410"/>
    </row>
    <row r="318" spans="1:79" ht="12.75" hidden="1" customHeight="1" x14ac:dyDescent="0.2">
      <c r="A318" s="377"/>
      <c r="B318" s="377"/>
      <c r="D318" s="465"/>
      <c r="F318" s="377"/>
      <c r="G318" s="53"/>
      <c r="H318" s="53"/>
      <c r="I318" s="53"/>
      <c r="J318" s="518"/>
      <c r="K318" s="53"/>
      <c r="L318" s="53"/>
      <c r="M318" s="53"/>
      <c r="N318" s="53"/>
      <c r="O318" s="518"/>
      <c r="P318" s="53"/>
      <c r="Q318" s="53"/>
      <c r="R318" s="53"/>
      <c r="S318" s="53"/>
      <c r="T318" s="518"/>
      <c r="U318" s="53"/>
      <c r="V318" s="53"/>
      <c r="W318" s="53"/>
      <c r="X318" s="53"/>
      <c r="Y318" s="518"/>
      <c r="Z318" s="53"/>
      <c r="AA318" s="53"/>
      <c r="AB318" s="53"/>
      <c r="AC318" s="53"/>
      <c r="AD318" s="518"/>
      <c r="AE318" s="53"/>
      <c r="AF318" s="53"/>
      <c r="AG318" s="53"/>
      <c r="AH318" s="53"/>
      <c r="AI318" s="518"/>
      <c r="AJ318" s="53"/>
      <c r="AK318" s="53"/>
      <c r="AL318" s="53"/>
      <c r="AM318" s="53"/>
      <c r="AN318" s="518"/>
      <c r="AO318" s="53"/>
      <c r="AP318" s="53"/>
      <c r="AQ318" s="53"/>
      <c r="AR318" s="53"/>
      <c r="AS318" s="518"/>
      <c r="AT318" s="53"/>
      <c r="AU318" s="53"/>
      <c r="AV318" s="53"/>
      <c r="AW318" s="53"/>
      <c r="AX318" s="518"/>
      <c r="AY318" s="53"/>
      <c r="AZ318" s="53"/>
      <c r="BA318" s="53"/>
      <c r="BB318" s="53"/>
      <c r="BC318" s="518"/>
      <c r="BD318" s="53"/>
      <c r="BE318" s="53"/>
      <c r="BF318" s="53"/>
      <c r="BG318" s="53"/>
      <c r="BH318" s="518"/>
      <c r="BI318" s="53"/>
      <c r="BJ318" s="53"/>
      <c r="BK318" s="53"/>
      <c r="BL318" s="53"/>
      <c r="BM318" s="518"/>
      <c r="BN318" s="53"/>
      <c r="BO318" s="53"/>
      <c r="BP318" s="53"/>
      <c r="BQ318" s="53"/>
      <c r="BR318" s="518"/>
      <c r="BS318" s="53"/>
      <c r="BT318" s="53"/>
      <c r="BU318" s="53"/>
      <c r="BV318" s="53"/>
      <c r="BW318" s="465"/>
      <c r="BZ318" s="410"/>
      <c r="CA318" s="410"/>
    </row>
    <row r="319" spans="1:79" ht="12.75" hidden="1" customHeight="1" x14ac:dyDescent="0.2">
      <c r="A319" s="377"/>
      <c r="B319" s="377"/>
      <c r="D319" s="465" t="str">
        <f>[18]domredemp!D86</f>
        <v xml:space="preserve">  I2029 (1.875%  2029/03/31)</v>
      </c>
      <c r="F319" s="377"/>
      <c r="G319" s="53">
        <v>0</v>
      </c>
      <c r="H319" s="53"/>
      <c r="I319" s="53"/>
      <c r="J319" s="518"/>
      <c r="K319" s="53"/>
      <c r="L319" s="53">
        <f>SUM(L320:L320)</f>
        <v>0</v>
      </c>
      <c r="M319" s="53"/>
      <c r="N319" s="53"/>
      <c r="O319" s="518"/>
      <c r="P319" s="53"/>
      <c r="Q319" s="53">
        <f>SUM(Q320:Q320)</f>
        <v>0</v>
      </c>
      <c r="R319" s="53"/>
      <c r="S319" s="53"/>
      <c r="T319" s="518"/>
      <c r="U319" s="53"/>
      <c r="V319" s="53">
        <f>SUM(V320:V320)</f>
        <v>0</v>
      </c>
      <c r="W319" s="53"/>
      <c r="X319" s="53"/>
      <c r="Y319" s="518"/>
      <c r="Z319" s="53"/>
      <c r="AA319" s="53">
        <f>SUM(AA320:AA320)</f>
        <v>0</v>
      </c>
      <c r="AB319" s="53"/>
      <c r="AC319" s="53"/>
      <c r="AD319" s="518"/>
      <c r="AE319" s="53"/>
      <c r="AF319" s="53">
        <f>SUM(AF320:AF320)</f>
        <v>0</v>
      </c>
      <c r="AG319" s="53"/>
      <c r="AH319" s="53"/>
      <c r="AI319" s="518"/>
      <c r="AJ319" s="53"/>
      <c r="AK319" s="53">
        <f>SUM(AK320:AK320)</f>
        <v>0</v>
      </c>
      <c r="AL319" s="53"/>
      <c r="AM319" s="53"/>
      <c r="AN319" s="518"/>
      <c r="AO319" s="53"/>
      <c r="AP319" s="53">
        <f>SUM(AP320:AP320)</f>
        <v>0</v>
      </c>
      <c r="AQ319" s="53"/>
      <c r="AR319" s="53"/>
      <c r="AS319" s="518"/>
      <c r="AT319" s="53"/>
      <c r="AU319" s="53">
        <f>SUM(AU320:AU320)</f>
        <v>0</v>
      </c>
      <c r="AV319" s="53"/>
      <c r="AW319" s="53"/>
      <c r="AX319" s="518"/>
      <c r="AY319" s="53"/>
      <c r="AZ319" s="53">
        <f>SUM(AZ320:AZ320)</f>
        <v>0</v>
      </c>
      <c r="BA319" s="53"/>
      <c r="BB319" s="53"/>
      <c r="BC319" s="518"/>
      <c r="BD319" s="53"/>
      <c r="BE319" s="53">
        <f>SUM(BE320:BE320)</f>
        <v>0</v>
      </c>
      <c r="BF319" s="53"/>
      <c r="BG319" s="53"/>
      <c r="BH319" s="518"/>
      <c r="BI319" s="53"/>
      <c r="BJ319" s="53">
        <f>SUM(BJ320:BJ320)</f>
        <v>0</v>
      </c>
      <c r="BK319" s="53"/>
      <c r="BL319" s="53"/>
      <c r="BM319" s="518"/>
      <c r="BN319" s="53"/>
      <c r="BO319" s="53">
        <f>SUM(BO320:BO320)</f>
        <v>0</v>
      </c>
      <c r="BP319" s="53"/>
      <c r="BQ319" s="53"/>
      <c r="BR319" s="518"/>
      <c r="BS319" s="53"/>
      <c r="BT319" s="53">
        <f>SUM(BT320:BT320)</f>
        <v>0</v>
      </c>
      <c r="BU319" s="53"/>
      <c r="BV319" s="53"/>
      <c r="BW319" s="465"/>
      <c r="BZ319" s="410"/>
      <c r="CA319" s="410"/>
    </row>
    <row r="320" spans="1:79" ht="12.75" hidden="1" customHeight="1" x14ac:dyDescent="0.2">
      <c r="A320" s="377"/>
      <c r="B320" s="377"/>
      <c r="D320" s="465" t="s">
        <v>378</v>
      </c>
      <c r="F320" s="548"/>
      <c r="G320" s="493">
        <v>0</v>
      </c>
      <c r="H320" s="549"/>
      <c r="I320" s="53"/>
      <c r="J320" s="518"/>
      <c r="K320" s="550"/>
      <c r="L320" s="493">
        <v>0</v>
      </c>
      <c r="M320" s="549"/>
      <c r="N320" s="53"/>
      <c r="O320" s="518"/>
      <c r="P320" s="550"/>
      <c r="Q320" s="493">
        <v>0</v>
      </c>
      <c r="R320" s="549"/>
      <c r="S320" s="53"/>
      <c r="T320" s="518"/>
      <c r="U320" s="550"/>
      <c r="V320" s="493">
        <v>0</v>
      </c>
      <c r="W320" s="549"/>
      <c r="X320" s="53"/>
      <c r="Y320" s="518"/>
      <c r="Z320" s="550"/>
      <c r="AA320" s="493">
        <v>0</v>
      </c>
      <c r="AB320" s="549"/>
      <c r="AC320" s="53"/>
      <c r="AD320" s="518"/>
      <c r="AE320" s="550"/>
      <c r="AF320" s="493">
        <v>0</v>
      </c>
      <c r="AG320" s="549"/>
      <c r="AH320" s="53"/>
      <c r="AI320" s="518"/>
      <c r="AJ320" s="550"/>
      <c r="AK320" s="493">
        <v>0</v>
      </c>
      <c r="AL320" s="549"/>
      <c r="AM320" s="53"/>
      <c r="AN320" s="518"/>
      <c r="AO320" s="550"/>
      <c r="AP320" s="493">
        <v>0</v>
      </c>
      <c r="AQ320" s="549"/>
      <c r="AR320" s="53"/>
      <c r="AS320" s="518"/>
      <c r="AT320" s="550"/>
      <c r="AU320" s="493">
        <v>0</v>
      </c>
      <c r="AV320" s="549"/>
      <c r="AW320" s="53"/>
      <c r="AX320" s="518"/>
      <c r="AY320" s="550"/>
      <c r="AZ320" s="493">
        <v>0</v>
      </c>
      <c r="BA320" s="549"/>
      <c r="BB320" s="53"/>
      <c r="BC320" s="518"/>
      <c r="BD320" s="550"/>
      <c r="BE320" s="493">
        <v>0</v>
      </c>
      <c r="BF320" s="549"/>
      <c r="BG320" s="53"/>
      <c r="BH320" s="518"/>
      <c r="BI320" s="550"/>
      <c r="BJ320" s="493">
        <v>0</v>
      </c>
      <c r="BK320" s="549"/>
      <c r="BL320" s="53"/>
      <c r="BM320" s="518"/>
      <c r="BN320" s="550"/>
      <c r="BO320" s="493">
        <v>0</v>
      </c>
      <c r="BP320" s="549"/>
      <c r="BQ320" s="53"/>
      <c r="BR320" s="518"/>
      <c r="BS320" s="550"/>
      <c r="BT320" s="493">
        <f>SUM(L320:BO320)</f>
        <v>0</v>
      </c>
      <c r="BU320" s="549"/>
      <c r="BV320" s="53"/>
      <c r="BW320" s="465"/>
      <c r="BZ320" s="410"/>
      <c r="CA320" s="410"/>
    </row>
    <row r="321" spans="1:79" ht="12.75" hidden="1" customHeight="1" x14ac:dyDescent="0.2">
      <c r="A321" s="377"/>
      <c r="B321" s="377"/>
      <c r="D321" s="465"/>
      <c r="F321" s="377"/>
      <c r="G321" s="53"/>
      <c r="H321" s="53"/>
      <c r="I321" s="53"/>
      <c r="J321" s="518"/>
      <c r="K321" s="53"/>
      <c r="L321" s="53"/>
      <c r="M321" s="53"/>
      <c r="N321" s="53"/>
      <c r="O321" s="518"/>
      <c r="P321" s="53"/>
      <c r="Q321" s="53"/>
      <c r="R321" s="53"/>
      <c r="S321" s="53"/>
      <c r="T321" s="518"/>
      <c r="U321" s="53"/>
      <c r="V321" s="53"/>
      <c r="W321" s="53"/>
      <c r="X321" s="53"/>
      <c r="Y321" s="518"/>
      <c r="Z321" s="53"/>
      <c r="AA321" s="53"/>
      <c r="AB321" s="53"/>
      <c r="AC321" s="53"/>
      <c r="AD321" s="518"/>
      <c r="AE321" s="53"/>
      <c r="AF321" s="53"/>
      <c r="AG321" s="53"/>
      <c r="AH321" s="53"/>
      <c r="AI321" s="518"/>
      <c r="AJ321" s="53"/>
      <c r="AK321" s="53"/>
      <c r="AL321" s="53"/>
      <c r="AM321" s="53"/>
      <c r="AN321" s="518"/>
      <c r="AO321" s="53"/>
      <c r="AP321" s="53"/>
      <c r="AQ321" s="53"/>
      <c r="AR321" s="53"/>
      <c r="AS321" s="518"/>
      <c r="AT321" s="53"/>
      <c r="AU321" s="53"/>
      <c r="AV321" s="53"/>
      <c r="AW321" s="53"/>
      <c r="AX321" s="518"/>
      <c r="AY321" s="53"/>
      <c r="AZ321" s="53"/>
      <c r="BA321" s="53"/>
      <c r="BB321" s="53"/>
      <c r="BC321" s="518"/>
      <c r="BD321" s="53"/>
      <c r="BE321" s="53"/>
      <c r="BF321" s="53"/>
      <c r="BG321" s="53"/>
      <c r="BH321" s="518"/>
      <c r="BI321" s="53"/>
      <c r="BJ321" s="53"/>
      <c r="BK321" s="53"/>
      <c r="BL321" s="53"/>
      <c r="BM321" s="518"/>
      <c r="BN321" s="53"/>
      <c r="BO321" s="53"/>
      <c r="BP321" s="53"/>
      <c r="BQ321" s="53"/>
      <c r="BR321" s="518"/>
      <c r="BS321" s="53"/>
      <c r="BT321" s="53"/>
      <c r="BU321" s="53"/>
      <c r="BV321" s="53"/>
      <c r="BW321" s="465"/>
      <c r="BZ321" s="410"/>
      <c r="CA321" s="410"/>
    </row>
    <row r="322" spans="1:79" ht="12.75" hidden="1" customHeight="1" x14ac:dyDescent="0.2">
      <c r="A322" s="377"/>
      <c r="B322" s="377"/>
      <c r="D322" s="465"/>
      <c r="F322" s="377"/>
      <c r="G322" s="53"/>
      <c r="H322" s="53"/>
      <c r="I322" s="53"/>
      <c r="J322" s="518"/>
      <c r="K322" s="53"/>
      <c r="L322" s="53"/>
      <c r="M322" s="53"/>
      <c r="N322" s="53"/>
      <c r="O322" s="518"/>
      <c r="P322" s="53"/>
      <c r="Q322" s="53"/>
      <c r="R322" s="53"/>
      <c r="S322" s="53"/>
      <c r="T322" s="518"/>
      <c r="U322" s="53"/>
      <c r="V322" s="53"/>
      <c r="W322" s="53"/>
      <c r="X322" s="53"/>
      <c r="Y322" s="518"/>
      <c r="Z322" s="53"/>
      <c r="AA322" s="53"/>
      <c r="AB322" s="53"/>
      <c r="AC322" s="53"/>
      <c r="AD322" s="518"/>
      <c r="AE322" s="53"/>
      <c r="AF322" s="53"/>
      <c r="AG322" s="53"/>
      <c r="AH322" s="53"/>
      <c r="AI322" s="518"/>
      <c r="AJ322" s="53"/>
      <c r="AK322" s="53"/>
      <c r="AL322" s="53"/>
      <c r="AM322" s="53"/>
      <c r="AN322" s="518"/>
      <c r="AO322" s="53"/>
      <c r="AP322" s="53"/>
      <c r="AQ322" s="53"/>
      <c r="AR322" s="53"/>
      <c r="AS322" s="518"/>
      <c r="AT322" s="53"/>
      <c r="AU322" s="53"/>
      <c r="AV322" s="53"/>
      <c r="AW322" s="53"/>
      <c r="AX322" s="518"/>
      <c r="AY322" s="53"/>
      <c r="AZ322" s="53"/>
      <c r="BA322" s="53"/>
      <c r="BB322" s="53"/>
      <c r="BC322" s="518"/>
      <c r="BD322" s="53"/>
      <c r="BE322" s="53"/>
      <c r="BF322" s="53"/>
      <c r="BG322" s="53"/>
      <c r="BH322" s="518"/>
      <c r="BI322" s="53"/>
      <c r="BJ322" s="53"/>
      <c r="BK322" s="53"/>
      <c r="BL322" s="53"/>
      <c r="BM322" s="518"/>
      <c r="BN322" s="53"/>
      <c r="BO322" s="53"/>
      <c r="BP322" s="53"/>
      <c r="BQ322" s="53"/>
      <c r="BR322" s="518"/>
      <c r="BS322" s="53"/>
      <c r="BT322" s="53"/>
      <c r="BU322" s="53"/>
      <c r="BV322" s="53"/>
      <c r="BW322" s="465"/>
      <c r="BZ322" s="410"/>
      <c r="CA322" s="410"/>
    </row>
    <row r="323" spans="1:79" ht="12.75" customHeight="1" x14ac:dyDescent="0.2">
      <c r="A323" s="377"/>
      <c r="B323" s="377"/>
      <c r="D323" s="465" t="s">
        <v>442</v>
      </c>
      <c r="F323" s="377"/>
      <c r="G323" s="53">
        <v>0</v>
      </c>
      <c r="H323" s="53"/>
      <c r="I323" s="53"/>
      <c r="J323" s="518"/>
      <c r="K323" s="53"/>
      <c r="L323" s="53">
        <f>SUM(L324:L324)</f>
        <v>0</v>
      </c>
      <c r="M323" s="53"/>
      <c r="N323" s="53"/>
      <c r="O323" s="518"/>
      <c r="P323" s="53"/>
      <c r="Q323" s="53">
        <f>SUM(Q324:Q324)</f>
        <v>0</v>
      </c>
      <c r="R323" s="53"/>
      <c r="S323" s="53"/>
      <c r="T323" s="518"/>
      <c r="U323" s="53"/>
      <c r="V323" s="53">
        <f>SUM(V324:V324)</f>
        <v>0</v>
      </c>
      <c r="W323" s="53"/>
      <c r="X323" s="53"/>
      <c r="Y323" s="518"/>
      <c r="Z323" s="53">
        <f t="shared" ref="Z323:BQ323" si="2">SUM(Z324:Z324)</f>
        <v>0</v>
      </c>
      <c r="AA323" s="53">
        <f>SUM(AA324:AA324)</f>
        <v>0</v>
      </c>
      <c r="AB323" s="53">
        <f t="shared" si="2"/>
        <v>0</v>
      </c>
      <c r="AC323" s="53">
        <f t="shared" si="2"/>
        <v>0</v>
      </c>
      <c r="AD323" s="518">
        <f t="shared" si="2"/>
        <v>0</v>
      </c>
      <c r="AE323" s="53">
        <f t="shared" si="2"/>
        <v>0</v>
      </c>
      <c r="AF323" s="53">
        <f>SUM(AF324:AF324)</f>
        <v>41191</v>
      </c>
      <c r="AG323" s="53">
        <f t="shared" si="2"/>
        <v>0</v>
      </c>
      <c r="AH323" s="53">
        <f t="shared" si="2"/>
        <v>0</v>
      </c>
      <c r="AI323" s="518">
        <f t="shared" si="2"/>
        <v>0</v>
      </c>
      <c r="AJ323" s="53">
        <f t="shared" si="2"/>
        <v>0</v>
      </c>
      <c r="AK323" s="53">
        <f>SUM(AK324:AK324)</f>
        <v>0</v>
      </c>
      <c r="AL323" s="53">
        <f t="shared" si="2"/>
        <v>0</v>
      </c>
      <c r="AM323" s="53">
        <f t="shared" si="2"/>
        <v>0</v>
      </c>
      <c r="AN323" s="518">
        <f t="shared" si="2"/>
        <v>0</v>
      </c>
      <c r="AO323" s="53">
        <f t="shared" si="2"/>
        <v>0</v>
      </c>
      <c r="AP323" s="53">
        <f>SUM(AP324:AP324)</f>
        <v>0</v>
      </c>
      <c r="AQ323" s="53">
        <f t="shared" si="2"/>
        <v>0</v>
      </c>
      <c r="AR323" s="53">
        <f t="shared" si="2"/>
        <v>0</v>
      </c>
      <c r="AS323" s="518">
        <f t="shared" si="2"/>
        <v>0</v>
      </c>
      <c r="AT323" s="53">
        <f t="shared" si="2"/>
        <v>0</v>
      </c>
      <c r="AU323" s="53">
        <f>SUM(AU324:AU324)</f>
        <v>0</v>
      </c>
      <c r="AV323" s="53">
        <f t="shared" si="2"/>
        <v>0</v>
      </c>
      <c r="AW323" s="53">
        <f t="shared" si="2"/>
        <v>0</v>
      </c>
      <c r="AX323" s="518">
        <f t="shared" si="2"/>
        <v>0</v>
      </c>
      <c r="AY323" s="53">
        <f t="shared" si="2"/>
        <v>0</v>
      </c>
      <c r="AZ323" s="53">
        <f>SUM(AZ324:AZ324)</f>
        <v>0</v>
      </c>
      <c r="BA323" s="53">
        <f t="shared" si="2"/>
        <v>0</v>
      </c>
      <c r="BB323" s="53">
        <f t="shared" si="2"/>
        <v>0</v>
      </c>
      <c r="BC323" s="518">
        <f t="shared" si="2"/>
        <v>0</v>
      </c>
      <c r="BD323" s="53">
        <f t="shared" si="2"/>
        <v>0</v>
      </c>
      <c r="BE323" s="53">
        <f>SUM(BE324:BE324)</f>
        <v>0</v>
      </c>
      <c r="BF323" s="53">
        <f t="shared" si="2"/>
        <v>0</v>
      </c>
      <c r="BG323" s="53">
        <f t="shared" si="2"/>
        <v>0</v>
      </c>
      <c r="BH323" s="518">
        <f t="shared" si="2"/>
        <v>0</v>
      </c>
      <c r="BI323" s="53">
        <f t="shared" si="2"/>
        <v>0</v>
      </c>
      <c r="BJ323" s="53">
        <f>SUM(BJ324:BJ324)</f>
        <v>0</v>
      </c>
      <c r="BK323" s="53">
        <f t="shared" si="2"/>
        <v>0</v>
      </c>
      <c r="BL323" s="53">
        <f t="shared" si="2"/>
        <v>0</v>
      </c>
      <c r="BM323" s="518">
        <f t="shared" si="2"/>
        <v>0</v>
      </c>
      <c r="BN323" s="53">
        <f t="shared" si="2"/>
        <v>0</v>
      </c>
      <c r="BO323" s="53">
        <f>SUM(BO324:BO324)</f>
        <v>0</v>
      </c>
      <c r="BP323" s="53">
        <f t="shared" si="2"/>
        <v>0</v>
      </c>
      <c r="BQ323" s="53">
        <f t="shared" si="2"/>
        <v>0</v>
      </c>
      <c r="BR323" s="518"/>
      <c r="BS323" s="53"/>
      <c r="BT323" s="53">
        <f>SUM(BT324:BT324)</f>
        <v>41191</v>
      </c>
      <c r="BU323" s="53"/>
      <c r="BV323" s="53"/>
      <c r="BW323" s="465"/>
      <c r="BZ323" s="410"/>
      <c r="CA323" s="410"/>
    </row>
    <row r="324" spans="1:79" ht="12.75" customHeight="1" x14ac:dyDescent="0.2">
      <c r="A324" s="377"/>
      <c r="B324" s="377"/>
      <c r="D324" s="465" t="s">
        <v>378</v>
      </c>
      <c r="F324" s="548"/>
      <c r="G324" s="493">
        <v>0</v>
      </c>
      <c r="H324" s="549"/>
      <c r="I324" s="53"/>
      <c r="J324" s="518"/>
      <c r="K324" s="550"/>
      <c r="L324" s="493">
        <v>0</v>
      </c>
      <c r="M324" s="549"/>
      <c r="N324" s="53"/>
      <c r="O324" s="518"/>
      <c r="P324" s="550"/>
      <c r="Q324" s="493">
        <v>0</v>
      </c>
      <c r="R324" s="549"/>
      <c r="S324" s="53"/>
      <c r="T324" s="518"/>
      <c r="U324" s="550"/>
      <c r="V324" s="493">
        <v>0</v>
      </c>
      <c r="W324" s="549"/>
      <c r="X324" s="53"/>
      <c r="Y324" s="518"/>
      <c r="Z324" s="550"/>
      <c r="AA324" s="493">
        <v>0</v>
      </c>
      <c r="AB324" s="549"/>
      <c r="AC324" s="53"/>
      <c r="AD324" s="518"/>
      <c r="AE324" s="550"/>
      <c r="AF324" s="493">
        <v>41191</v>
      </c>
      <c r="AG324" s="549"/>
      <c r="AH324" s="53"/>
      <c r="AI324" s="518"/>
      <c r="AJ324" s="550"/>
      <c r="AK324" s="493">
        <v>0</v>
      </c>
      <c r="AL324" s="549"/>
      <c r="AM324" s="53"/>
      <c r="AN324" s="518"/>
      <c r="AO324" s="550"/>
      <c r="AP324" s="493">
        <v>0</v>
      </c>
      <c r="AQ324" s="549"/>
      <c r="AR324" s="53"/>
      <c r="AS324" s="518"/>
      <c r="AT324" s="550"/>
      <c r="AU324" s="493">
        <v>0</v>
      </c>
      <c r="AV324" s="549"/>
      <c r="AW324" s="53"/>
      <c r="AX324" s="518"/>
      <c r="AY324" s="550"/>
      <c r="AZ324" s="493">
        <v>0</v>
      </c>
      <c r="BA324" s="549"/>
      <c r="BB324" s="53"/>
      <c r="BC324" s="518"/>
      <c r="BD324" s="550"/>
      <c r="BE324" s="493">
        <v>0</v>
      </c>
      <c r="BF324" s="549"/>
      <c r="BG324" s="53"/>
      <c r="BH324" s="518"/>
      <c r="BI324" s="550"/>
      <c r="BJ324" s="493">
        <v>0</v>
      </c>
      <c r="BK324" s="549"/>
      <c r="BL324" s="53"/>
      <c r="BM324" s="518"/>
      <c r="BN324" s="550"/>
      <c r="BO324" s="493">
        <v>0</v>
      </c>
      <c r="BP324" s="549"/>
      <c r="BQ324" s="53"/>
      <c r="BR324" s="518"/>
      <c r="BS324" s="550"/>
      <c r="BT324" s="493">
        <f>SUM(L324:BO324)</f>
        <v>41191</v>
      </c>
      <c r="BU324" s="549"/>
      <c r="BV324" s="53"/>
      <c r="BW324" s="465"/>
      <c r="BZ324" s="410"/>
      <c r="CA324" s="410"/>
    </row>
    <row r="325" spans="1:79" ht="12.75" customHeight="1" x14ac:dyDescent="0.2">
      <c r="A325" s="377"/>
      <c r="B325" s="377"/>
      <c r="D325" s="465"/>
      <c r="F325" s="377"/>
      <c r="G325" s="53"/>
      <c r="H325" s="53"/>
      <c r="I325" s="53"/>
      <c r="J325" s="518"/>
      <c r="K325" s="53"/>
      <c r="L325" s="53"/>
      <c r="M325" s="53"/>
      <c r="N325" s="53"/>
      <c r="O325" s="518"/>
      <c r="P325" s="53"/>
      <c r="Q325" s="53"/>
      <c r="R325" s="53"/>
      <c r="S325" s="53"/>
      <c r="T325" s="518"/>
      <c r="U325" s="53"/>
      <c r="V325" s="53"/>
      <c r="W325" s="53"/>
      <c r="X325" s="53"/>
      <c r="Y325" s="518"/>
      <c r="Z325" s="53"/>
      <c r="AA325" s="53"/>
      <c r="AB325" s="53"/>
      <c r="AC325" s="53"/>
      <c r="AD325" s="518"/>
      <c r="AE325" s="53"/>
      <c r="AF325" s="53"/>
      <c r="AG325" s="53"/>
      <c r="AH325" s="53"/>
      <c r="AI325" s="518"/>
      <c r="AJ325" s="53"/>
      <c r="AK325" s="53"/>
      <c r="AL325" s="53"/>
      <c r="AM325" s="53"/>
      <c r="AN325" s="518"/>
      <c r="AO325" s="53"/>
      <c r="AP325" s="53"/>
      <c r="AQ325" s="53"/>
      <c r="AR325" s="53"/>
      <c r="AS325" s="518"/>
      <c r="AT325" s="53"/>
      <c r="AU325" s="53"/>
      <c r="AV325" s="53"/>
      <c r="AW325" s="53"/>
      <c r="AX325" s="518"/>
      <c r="AY325" s="53"/>
      <c r="AZ325" s="53"/>
      <c r="BA325" s="53"/>
      <c r="BB325" s="53"/>
      <c r="BC325" s="518"/>
      <c r="BD325" s="53"/>
      <c r="BE325" s="53"/>
      <c r="BF325" s="53"/>
      <c r="BG325" s="53"/>
      <c r="BH325" s="518"/>
      <c r="BI325" s="53"/>
      <c r="BJ325" s="53"/>
      <c r="BK325" s="53"/>
      <c r="BL325" s="53"/>
      <c r="BM325" s="518"/>
      <c r="BN325" s="53"/>
      <c r="BO325" s="53"/>
      <c r="BP325" s="53"/>
      <c r="BQ325" s="53"/>
      <c r="BR325" s="518"/>
      <c r="BS325" s="53"/>
      <c r="BT325" s="53"/>
      <c r="BU325" s="53"/>
      <c r="BV325" s="53"/>
      <c r="BW325" s="465"/>
      <c r="BZ325" s="410"/>
      <c r="CA325" s="410"/>
    </row>
    <row r="326" spans="1:79" ht="12.75" customHeight="1" x14ac:dyDescent="0.2">
      <c r="A326" s="377"/>
      <c r="B326" s="377"/>
      <c r="D326" s="465" t="s">
        <v>387</v>
      </c>
      <c r="F326" s="377"/>
      <c r="G326" s="53">
        <v>0</v>
      </c>
      <c r="H326" s="53"/>
      <c r="I326" s="53"/>
      <c r="J326" s="518"/>
      <c r="K326" s="53"/>
      <c r="L326" s="53">
        <f>SUM(L327:L327)</f>
        <v>0</v>
      </c>
      <c r="M326" s="53"/>
      <c r="N326" s="53"/>
      <c r="O326" s="518"/>
      <c r="P326" s="53"/>
      <c r="Q326" s="53">
        <f>SUM(Q327:Q327)</f>
        <v>0</v>
      </c>
      <c r="R326" s="53"/>
      <c r="S326" s="53"/>
      <c r="T326" s="518"/>
      <c r="U326" s="53"/>
      <c r="V326" s="53">
        <f>SUM(V327:V327)</f>
        <v>0</v>
      </c>
      <c r="W326" s="53"/>
      <c r="X326" s="53"/>
      <c r="Y326" s="518"/>
      <c r="Z326" s="53"/>
      <c r="AA326" s="53">
        <f>SUM(AA327:AA327)</f>
        <v>0</v>
      </c>
      <c r="AB326" s="53"/>
      <c r="AC326" s="53"/>
      <c r="AD326" s="518"/>
      <c r="AE326" s="53"/>
      <c r="AF326" s="53">
        <f>SUM(AF327:AF327)</f>
        <v>0</v>
      </c>
      <c r="AG326" s="53"/>
      <c r="AH326" s="53"/>
      <c r="AI326" s="518"/>
      <c r="AJ326" s="53"/>
      <c r="AK326" s="53">
        <f>SUM(AK327:AK327)</f>
        <v>0</v>
      </c>
      <c r="AL326" s="53"/>
      <c r="AM326" s="53"/>
      <c r="AN326" s="518"/>
      <c r="AO326" s="53"/>
      <c r="AP326" s="53">
        <f>SUM(AP327:AP327)</f>
        <v>0</v>
      </c>
      <c r="AQ326" s="53"/>
      <c r="AR326" s="53"/>
      <c r="AS326" s="518"/>
      <c r="AT326" s="53"/>
      <c r="AU326" s="53">
        <f>SUM(AU327:AU327)</f>
        <v>0</v>
      </c>
      <c r="AV326" s="53"/>
      <c r="AW326" s="53"/>
      <c r="AX326" s="518"/>
      <c r="AY326" s="53"/>
      <c r="AZ326" s="53">
        <f>SUM(AZ327:AZ327)</f>
        <v>0</v>
      </c>
      <c r="BA326" s="53"/>
      <c r="BB326" s="53"/>
      <c r="BC326" s="518"/>
      <c r="BD326" s="53"/>
      <c r="BE326" s="53">
        <f>SUM(BE327:BE327)</f>
        <v>0</v>
      </c>
      <c r="BF326" s="53"/>
      <c r="BG326" s="53"/>
      <c r="BH326" s="518"/>
      <c r="BI326" s="53"/>
      <c r="BJ326" s="53">
        <f>SUM(BJ327:BJ327)</f>
        <v>0</v>
      </c>
      <c r="BK326" s="53"/>
      <c r="BL326" s="53"/>
      <c r="BM326" s="518"/>
      <c r="BN326" s="53"/>
      <c r="BO326" s="53">
        <f>SUM(BO327:BO327)</f>
        <v>0</v>
      </c>
      <c r="BP326" s="53"/>
      <c r="BQ326" s="53"/>
      <c r="BR326" s="518"/>
      <c r="BS326" s="53"/>
      <c r="BT326" s="53">
        <f>SUM(BT327:BT327)</f>
        <v>0</v>
      </c>
      <c r="BU326" s="53"/>
      <c r="BV326" s="53"/>
      <c r="BW326" s="465"/>
      <c r="BZ326" s="410"/>
      <c r="CA326" s="410"/>
    </row>
    <row r="327" spans="1:79" ht="12.75" customHeight="1" x14ac:dyDescent="0.2">
      <c r="A327" s="377"/>
      <c r="B327" s="377"/>
      <c r="D327" s="465" t="s">
        <v>378</v>
      </c>
      <c r="F327" s="548"/>
      <c r="G327" s="493">
        <v>0</v>
      </c>
      <c r="H327" s="549"/>
      <c r="I327" s="53"/>
      <c r="J327" s="518"/>
      <c r="K327" s="550"/>
      <c r="L327" s="493">
        <v>0</v>
      </c>
      <c r="M327" s="549"/>
      <c r="N327" s="53"/>
      <c r="O327" s="518"/>
      <c r="P327" s="550"/>
      <c r="Q327" s="493">
        <v>0</v>
      </c>
      <c r="R327" s="549"/>
      <c r="S327" s="53"/>
      <c r="T327" s="518"/>
      <c r="U327" s="550"/>
      <c r="V327" s="493">
        <v>0</v>
      </c>
      <c r="W327" s="549"/>
      <c r="X327" s="53"/>
      <c r="Y327" s="518"/>
      <c r="Z327" s="550"/>
      <c r="AA327" s="493">
        <v>0</v>
      </c>
      <c r="AB327" s="549"/>
      <c r="AC327" s="53"/>
      <c r="AD327" s="518"/>
      <c r="AE327" s="550"/>
      <c r="AF327" s="493">
        <v>0</v>
      </c>
      <c r="AG327" s="549"/>
      <c r="AH327" s="53"/>
      <c r="AI327" s="518"/>
      <c r="AJ327" s="550"/>
      <c r="AK327" s="493">
        <v>0</v>
      </c>
      <c r="AL327" s="549"/>
      <c r="AM327" s="53"/>
      <c r="AN327" s="518"/>
      <c r="AO327" s="550"/>
      <c r="AP327" s="493">
        <v>0</v>
      </c>
      <c r="AQ327" s="549"/>
      <c r="AR327" s="53"/>
      <c r="AS327" s="518"/>
      <c r="AT327" s="550"/>
      <c r="AU327" s="493">
        <v>0</v>
      </c>
      <c r="AV327" s="549"/>
      <c r="AW327" s="53"/>
      <c r="AX327" s="518"/>
      <c r="AY327" s="550"/>
      <c r="AZ327" s="493">
        <v>0</v>
      </c>
      <c r="BA327" s="549"/>
      <c r="BB327" s="53"/>
      <c r="BC327" s="518"/>
      <c r="BD327" s="550"/>
      <c r="BE327" s="493">
        <v>0</v>
      </c>
      <c r="BF327" s="549"/>
      <c r="BG327" s="53"/>
      <c r="BH327" s="518"/>
      <c r="BI327" s="550"/>
      <c r="BJ327" s="493">
        <v>0</v>
      </c>
      <c r="BK327" s="549"/>
      <c r="BL327" s="53"/>
      <c r="BM327" s="518"/>
      <c r="BN327" s="550"/>
      <c r="BO327" s="493">
        <v>0</v>
      </c>
      <c r="BP327" s="549"/>
      <c r="BQ327" s="53"/>
      <c r="BR327" s="518"/>
      <c r="BS327" s="550"/>
      <c r="BT327" s="493">
        <f>SUM(L327:BO327)</f>
        <v>0</v>
      </c>
      <c r="BU327" s="549"/>
      <c r="BV327" s="53"/>
      <c r="BW327" s="465"/>
      <c r="BZ327" s="410"/>
      <c r="CA327" s="410"/>
    </row>
    <row r="328" spans="1:79" ht="12.75" hidden="1" customHeight="1" x14ac:dyDescent="0.2">
      <c r="A328" s="377"/>
      <c r="B328" s="377"/>
      <c r="D328" s="465"/>
      <c r="F328" s="377"/>
      <c r="G328" s="53"/>
      <c r="H328" s="53"/>
      <c r="I328" s="53"/>
      <c r="J328" s="518"/>
      <c r="K328" s="53"/>
      <c r="L328" s="53"/>
      <c r="M328" s="53"/>
      <c r="N328" s="53"/>
      <c r="O328" s="518"/>
      <c r="P328" s="53"/>
      <c r="Q328" s="53"/>
      <c r="R328" s="53"/>
      <c r="S328" s="53"/>
      <c r="T328" s="518"/>
      <c r="U328" s="53"/>
      <c r="V328" s="53"/>
      <c r="W328" s="53"/>
      <c r="X328" s="53"/>
      <c r="Y328" s="518"/>
      <c r="Z328" s="53"/>
      <c r="AA328" s="53"/>
      <c r="AB328" s="53"/>
      <c r="AC328" s="53"/>
      <c r="AD328" s="518"/>
      <c r="AE328" s="53"/>
      <c r="AF328" s="53"/>
      <c r="AG328" s="53"/>
      <c r="AH328" s="53"/>
      <c r="AI328" s="518"/>
      <c r="AJ328" s="53"/>
      <c r="AK328" s="53"/>
      <c r="AL328" s="53"/>
      <c r="AM328" s="53"/>
      <c r="AN328" s="518"/>
      <c r="AO328" s="53"/>
      <c r="AP328" s="53"/>
      <c r="AQ328" s="53"/>
      <c r="AR328" s="53"/>
      <c r="AS328" s="518"/>
      <c r="AT328" s="53"/>
      <c r="AU328" s="53"/>
      <c r="AV328" s="53"/>
      <c r="AW328" s="53"/>
      <c r="AX328" s="518"/>
      <c r="AY328" s="53"/>
      <c r="AZ328" s="53"/>
      <c r="BA328" s="53"/>
      <c r="BB328" s="53"/>
      <c r="BC328" s="518"/>
      <c r="BD328" s="53"/>
      <c r="BE328" s="53"/>
      <c r="BF328" s="53"/>
      <c r="BG328" s="53"/>
      <c r="BH328" s="518"/>
      <c r="BI328" s="53"/>
      <c r="BJ328" s="53"/>
      <c r="BK328" s="53"/>
      <c r="BL328" s="53"/>
      <c r="BM328" s="518"/>
      <c r="BN328" s="53"/>
      <c r="BO328" s="53"/>
      <c r="BP328" s="53"/>
      <c r="BQ328" s="53"/>
      <c r="BR328" s="518"/>
      <c r="BS328" s="53"/>
      <c r="BT328" s="53"/>
      <c r="BU328" s="53"/>
      <c r="BV328" s="53"/>
      <c r="BW328" s="465"/>
      <c r="BZ328" s="410"/>
      <c r="CA328" s="410"/>
    </row>
    <row r="329" spans="1:79" ht="12.75" hidden="1" customHeight="1" x14ac:dyDescent="0.2">
      <c r="A329" s="377"/>
      <c r="B329" s="377"/>
      <c r="D329" s="465" t="s">
        <v>443</v>
      </c>
      <c r="F329" s="377"/>
      <c r="G329" s="53">
        <v>0</v>
      </c>
      <c r="H329" s="53"/>
      <c r="I329" s="53"/>
      <c r="J329" s="518"/>
      <c r="K329" s="53"/>
      <c r="L329" s="53">
        <f>SUM(L330:L330)</f>
        <v>0</v>
      </c>
      <c r="M329" s="53"/>
      <c r="N329" s="53"/>
      <c r="O329" s="518"/>
      <c r="P329" s="53"/>
      <c r="Q329" s="53">
        <f>SUM(Q330:Q330)</f>
        <v>0</v>
      </c>
      <c r="R329" s="53"/>
      <c r="S329" s="53"/>
      <c r="T329" s="518"/>
      <c r="U329" s="53"/>
      <c r="V329" s="53">
        <f>SUM(V330:V330)</f>
        <v>0</v>
      </c>
      <c r="W329" s="53"/>
      <c r="X329" s="53"/>
      <c r="Y329" s="518"/>
      <c r="Z329" s="53"/>
      <c r="AA329" s="53">
        <f>SUM(AA330:AA330)</f>
        <v>0</v>
      </c>
      <c r="AB329" s="53"/>
      <c r="AC329" s="53"/>
      <c r="AD329" s="518"/>
      <c r="AE329" s="53"/>
      <c r="AF329" s="53">
        <f>SUM(AF330:AF330)</f>
        <v>0</v>
      </c>
      <c r="AG329" s="53"/>
      <c r="AH329" s="53"/>
      <c r="AI329" s="518"/>
      <c r="AJ329" s="53"/>
      <c r="AK329" s="53">
        <f>SUM(AK330:AK330)</f>
        <v>0</v>
      </c>
      <c r="AL329" s="53"/>
      <c r="AM329" s="53"/>
      <c r="AN329" s="518"/>
      <c r="AO329" s="53"/>
      <c r="AP329" s="53">
        <f>SUM(AP330:AP330)</f>
        <v>0</v>
      </c>
      <c r="AQ329" s="53"/>
      <c r="AR329" s="53"/>
      <c r="AS329" s="518"/>
      <c r="AT329" s="53"/>
      <c r="AU329" s="53">
        <f>SUM(AU330:AU330)</f>
        <v>0</v>
      </c>
      <c r="AV329" s="53"/>
      <c r="AW329" s="53"/>
      <c r="AX329" s="518"/>
      <c r="AY329" s="53"/>
      <c r="AZ329" s="53">
        <f>SUM(AZ330:AZ330)</f>
        <v>0</v>
      </c>
      <c r="BA329" s="53"/>
      <c r="BB329" s="53"/>
      <c r="BC329" s="518"/>
      <c r="BD329" s="53"/>
      <c r="BE329" s="53">
        <f>SUM(BE330:BE330)</f>
        <v>0</v>
      </c>
      <c r="BF329" s="53"/>
      <c r="BG329" s="53"/>
      <c r="BH329" s="518"/>
      <c r="BI329" s="53"/>
      <c r="BJ329" s="53">
        <f>SUM(BJ330:BJ330)</f>
        <v>0</v>
      </c>
      <c r="BK329" s="53"/>
      <c r="BL329" s="53"/>
      <c r="BM329" s="518"/>
      <c r="BN329" s="53"/>
      <c r="BO329" s="53">
        <f>SUM(BO330:BO330)</f>
        <v>0</v>
      </c>
      <c r="BP329" s="53"/>
      <c r="BQ329" s="53"/>
      <c r="BR329" s="518"/>
      <c r="BS329" s="53"/>
      <c r="BT329" s="53">
        <f>SUM(BT330:BT330)</f>
        <v>0</v>
      </c>
      <c r="BU329" s="53"/>
      <c r="BV329" s="53"/>
      <c r="BW329" s="465"/>
      <c r="BZ329" s="410"/>
      <c r="CA329" s="410"/>
    </row>
    <row r="330" spans="1:79" ht="12.75" hidden="1" customHeight="1" x14ac:dyDescent="0.2">
      <c r="A330" s="377"/>
      <c r="B330" s="377"/>
      <c r="D330" s="465" t="s">
        <v>378</v>
      </c>
      <c r="F330" s="548"/>
      <c r="G330" s="493">
        <v>0</v>
      </c>
      <c r="H330" s="549"/>
      <c r="I330" s="53"/>
      <c r="J330" s="518"/>
      <c r="K330" s="550"/>
      <c r="L330" s="493">
        <v>0</v>
      </c>
      <c r="M330" s="549"/>
      <c r="N330" s="53"/>
      <c r="O330" s="518"/>
      <c r="P330" s="550"/>
      <c r="Q330" s="493">
        <v>0</v>
      </c>
      <c r="R330" s="549"/>
      <c r="S330" s="53"/>
      <c r="T330" s="518"/>
      <c r="U330" s="550"/>
      <c r="V330" s="493">
        <v>0</v>
      </c>
      <c r="W330" s="549"/>
      <c r="X330" s="53"/>
      <c r="Y330" s="518"/>
      <c r="Z330" s="550"/>
      <c r="AA330" s="493">
        <v>0</v>
      </c>
      <c r="AB330" s="549"/>
      <c r="AC330" s="53"/>
      <c r="AD330" s="518"/>
      <c r="AE330" s="550"/>
      <c r="AF330" s="493">
        <v>0</v>
      </c>
      <c r="AG330" s="549"/>
      <c r="AH330" s="53"/>
      <c r="AI330" s="518"/>
      <c r="AJ330" s="550"/>
      <c r="AK330" s="493">
        <v>0</v>
      </c>
      <c r="AL330" s="549"/>
      <c r="AM330" s="53"/>
      <c r="AN330" s="518"/>
      <c r="AO330" s="550"/>
      <c r="AP330" s="493">
        <v>0</v>
      </c>
      <c r="AQ330" s="549"/>
      <c r="AR330" s="53"/>
      <c r="AS330" s="518"/>
      <c r="AT330" s="550"/>
      <c r="AU330" s="493">
        <v>0</v>
      </c>
      <c r="AV330" s="549"/>
      <c r="AW330" s="53"/>
      <c r="AX330" s="518"/>
      <c r="AY330" s="550"/>
      <c r="AZ330" s="493">
        <v>0</v>
      </c>
      <c r="BA330" s="549"/>
      <c r="BB330" s="53"/>
      <c r="BC330" s="518"/>
      <c r="BD330" s="550"/>
      <c r="BE330" s="493">
        <v>0</v>
      </c>
      <c r="BF330" s="549"/>
      <c r="BG330" s="53"/>
      <c r="BH330" s="518"/>
      <c r="BI330" s="550"/>
      <c r="BJ330" s="493">
        <v>0</v>
      </c>
      <c r="BK330" s="549"/>
      <c r="BL330" s="53"/>
      <c r="BM330" s="518"/>
      <c r="BN330" s="550"/>
      <c r="BO330" s="493">
        <v>0</v>
      </c>
      <c r="BP330" s="549"/>
      <c r="BQ330" s="53"/>
      <c r="BR330" s="518"/>
      <c r="BS330" s="550"/>
      <c r="BT330" s="493">
        <f>SUM(L330:BO330)</f>
        <v>0</v>
      </c>
      <c r="BU330" s="549"/>
      <c r="BV330" s="53"/>
      <c r="BW330" s="465"/>
      <c r="BZ330" s="410"/>
      <c r="CA330" s="410"/>
    </row>
    <row r="331" spans="1:79" ht="12.75" hidden="1" customHeight="1" x14ac:dyDescent="0.2">
      <c r="A331" s="377"/>
      <c r="B331" s="377"/>
      <c r="D331" s="465"/>
      <c r="F331" s="377"/>
      <c r="G331" s="53"/>
      <c r="H331" s="53"/>
      <c r="I331" s="53"/>
      <c r="J331" s="518"/>
      <c r="K331" s="53"/>
      <c r="L331" s="53"/>
      <c r="M331" s="53"/>
      <c r="N331" s="53"/>
      <c r="O331" s="518"/>
      <c r="P331" s="53"/>
      <c r="Q331" s="53"/>
      <c r="R331" s="53"/>
      <c r="S331" s="53"/>
      <c r="T331" s="518"/>
      <c r="U331" s="53"/>
      <c r="V331" s="53"/>
      <c r="W331" s="53"/>
      <c r="X331" s="53"/>
      <c r="Y331" s="518"/>
      <c r="Z331" s="53"/>
      <c r="AA331" s="53"/>
      <c r="AB331" s="53"/>
      <c r="AC331" s="53"/>
      <c r="AD331" s="518"/>
      <c r="AE331" s="53"/>
      <c r="AF331" s="53"/>
      <c r="AG331" s="53"/>
      <c r="AH331" s="53"/>
      <c r="AI331" s="518"/>
      <c r="AJ331" s="53"/>
      <c r="AK331" s="53"/>
      <c r="AL331" s="53"/>
      <c r="AM331" s="53"/>
      <c r="AN331" s="518"/>
      <c r="AO331" s="53"/>
      <c r="AP331" s="53"/>
      <c r="AQ331" s="53"/>
      <c r="AR331" s="53"/>
      <c r="AS331" s="518"/>
      <c r="AT331" s="53"/>
      <c r="AU331" s="53"/>
      <c r="AV331" s="53"/>
      <c r="AW331" s="53"/>
      <c r="AX331" s="518"/>
      <c r="AY331" s="53"/>
      <c r="AZ331" s="53"/>
      <c r="BA331" s="53"/>
      <c r="BB331" s="53"/>
      <c r="BC331" s="518"/>
      <c r="BD331" s="53"/>
      <c r="BE331" s="53"/>
      <c r="BF331" s="53"/>
      <c r="BG331" s="53"/>
      <c r="BH331" s="518"/>
      <c r="BI331" s="53"/>
      <c r="BJ331" s="53"/>
      <c r="BK331" s="53"/>
      <c r="BL331" s="53"/>
      <c r="BM331" s="518"/>
      <c r="BN331" s="53"/>
      <c r="BO331" s="53"/>
      <c r="BP331" s="53"/>
      <c r="BQ331" s="53"/>
      <c r="BR331" s="518"/>
      <c r="BS331" s="53"/>
      <c r="BT331" s="53"/>
      <c r="BU331" s="53"/>
      <c r="BV331" s="53"/>
      <c r="BW331" s="465"/>
      <c r="BZ331" s="410"/>
      <c r="CA331" s="410"/>
    </row>
    <row r="332" spans="1:79" ht="12.75" hidden="1" customHeight="1" x14ac:dyDescent="0.2">
      <c r="A332" s="377"/>
      <c r="B332" s="377"/>
      <c r="D332" s="465" t="s">
        <v>398</v>
      </c>
      <c r="F332" s="377"/>
      <c r="G332" s="53">
        <v>0</v>
      </c>
      <c r="H332" s="53"/>
      <c r="I332" s="53"/>
      <c r="J332" s="518"/>
      <c r="K332" s="53"/>
      <c r="L332" s="53">
        <f>SUM(L333:L333)</f>
        <v>0</v>
      </c>
      <c r="M332" s="53"/>
      <c r="N332" s="53"/>
      <c r="O332" s="518"/>
      <c r="P332" s="53"/>
      <c r="Q332" s="53">
        <f>SUM(Q333:Q333)</f>
        <v>0</v>
      </c>
      <c r="R332" s="53"/>
      <c r="S332" s="53"/>
      <c r="T332" s="518"/>
      <c r="U332" s="53"/>
      <c r="V332" s="53">
        <f>SUM(V333:V333)</f>
        <v>0</v>
      </c>
      <c r="W332" s="53"/>
      <c r="X332" s="53"/>
      <c r="Y332" s="518"/>
      <c r="Z332" s="53"/>
      <c r="AA332" s="53">
        <f>SUM(AA333:AA333)</f>
        <v>0</v>
      </c>
      <c r="AB332" s="53"/>
      <c r="AC332" s="53"/>
      <c r="AD332" s="518"/>
      <c r="AE332" s="53"/>
      <c r="AF332" s="53">
        <f>SUM(AF333:AF333)</f>
        <v>0</v>
      </c>
      <c r="AG332" s="53"/>
      <c r="AH332" s="53"/>
      <c r="AI332" s="518"/>
      <c r="AJ332" s="53"/>
      <c r="AK332" s="53">
        <f>SUM(AK333:AK333)</f>
        <v>0</v>
      </c>
      <c r="AL332" s="53"/>
      <c r="AM332" s="53"/>
      <c r="AN332" s="518"/>
      <c r="AO332" s="53"/>
      <c r="AP332" s="53">
        <f>SUM(AP333:AP333)</f>
        <v>0</v>
      </c>
      <c r="AQ332" s="53"/>
      <c r="AR332" s="53"/>
      <c r="AS332" s="518"/>
      <c r="AT332" s="53"/>
      <c r="AU332" s="53">
        <f>SUM(AU333:AU333)</f>
        <v>0</v>
      </c>
      <c r="AV332" s="53"/>
      <c r="AW332" s="53"/>
      <c r="AX332" s="518"/>
      <c r="AY332" s="53"/>
      <c r="AZ332" s="53">
        <f>SUM(AZ333:AZ333)</f>
        <v>0</v>
      </c>
      <c r="BA332" s="53"/>
      <c r="BB332" s="53"/>
      <c r="BC332" s="518"/>
      <c r="BD332" s="53"/>
      <c r="BE332" s="53">
        <f>SUM(BE333:BE333)</f>
        <v>0</v>
      </c>
      <c r="BF332" s="53"/>
      <c r="BG332" s="53"/>
      <c r="BH332" s="518"/>
      <c r="BI332" s="53"/>
      <c r="BJ332" s="53">
        <f>SUM(BJ333:BJ333)</f>
        <v>0</v>
      </c>
      <c r="BK332" s="53"/>
      <c r="BL332" s="53"/>
      <c r="BM332" s="518"/>
      <c r="BN332" s="53"/>
      <c r="BO332" s="53">
        <f>SUM(BO333:BO333)</f>
        <v>0</v>
      </c>
      <c r="BP332" s="53"/>
      <c r="BQ332" s="53"/>
      <c r="BR332" s="518"/>
      <c r="BS332" s="53"/>
      <c r="BT332" s="53">
        <f>SUM(BT333:BT333)</f>
        <v>0</v>
      </c>
      <c r="BU332" s="53"/>
      <c r="BV332" s="53"/>
      <c r="BW332" s="465"/>
      <c r="BZ332" s="410"/>
      <c r="CA332" s="410"/>
    </row>
    <row r="333" spans="1:79" ht="12.75" hidden="1" customHeight="1" x14ac:dyDescent="0.2">
      <c r="A333" s="377"/>
      <c r="B333" s="377"/>
      <c r="D333" s="465" t="s">
        <v>378</v>
      </c>
      <c r="F333" s="548"/>
      <c r="G333" s="493">
        <v>0</v>
      </c>
      <c r="H333" s="549"/>
      <c r="I333" s="53"/>
      <c r="J333" s="518"/>
      <c r="K333" s="550"/>
      <c r="L333" s="493">
        <v>0</v>
      </c>
      <c r="M333" s="549"/>
      <c r="N333" s="53"/>
      <c r="O333" s="518"/>
      <c r="P333" s="550"/>
      <c r="Q333" s="493">
        <v>0</v>
      </c>
      <c r="R333" s="549"/>
      <c r="S333" s="53"/>
      <c r="T333" s="518"/>
      <c r="U333" s="550"/>
      <c r="V333" s="493">
        <v>0</v>
      </c>
      <c r="W333" s="549"/>
      <c r="X333" s="53"/>
      <c r="Y333" s="518"/>
      <c r="Z333" s="550"/>
      <c r="AA333" s="493">
        <v>0</v>
      </c>
      <c r="AB333" s="549"/>
      <c r="AC333" s="53"/>
      <c r="AD333" s="518"/>
      <c r="AE333" s="550"/>
      <c r="AF333" s="493">
        <v>0</v>
      </c>
      <c r="AG333" s="549"/>
      <c r="AH333" s="53"/>
      <c r="AI333" s="518"/>
      <c r="AJ333" s="550"/>
      <c r="AK333" s="493">
        <v>0</v>
      </c>
      <c r="AL333" s="549"/>
      <c r="AM333" s="53"/>
      <c r="AN333" s="518"/>
      <c r="AO333" s="550"/>
      <c r="AP333" s="493">
        <v>0</v>
      </c>
      <c r="AQ333" s="549"/>
      <c r="AR333" s="53"/>
      <c r="AS333" s="518"/>
      <c r="AT333" s="550"/>
      <c r="AU333" s="493">
        <v>0</v>
      </c>
      <c r="AV333" s="549"/>
      <c r="AW333" s="53"/>
      <c r="AX333" s="518"/>
      <c r="AY333" s="550"/>
      <c r="AZ333" s="493">
        <v>0</v>
      </c>
      <c r="BA333" s="549"/>
      <c r="BB333" s="53"/>
      <c r="BC333" s="518"/>
      <c r="BD333" s="550"/>
      <c r="BE333" s="493">
        <v>0</v>
      </c>
      <c r="BF333" s="549"/>
      <c r="BG333" s="53"/>
      <c r="BH333" s="518"/>
      <c r="BI333" s="550"/>
      <c r="BJ333" s="493">
        <v>0</v>
      </c>
      <c r="BK333" s="549"/>
      <c r="BL333" s="53"/>
      <c r="BM333" s="518"/>
      <c r="BN333" s="550"/>
      <c r="BO333" s="493">
        <v>0</v>
      </c>
      <c r="BP333" s="549"/>
      <c r="BQ333" s="53"/>
      <c r="BR333" s="518"/>
      <c r="BS333" s="550"/>
      <c r="BT333" s="493">
        <f>SUM(L333:BO333)</f>
        <v>0</v>
      </c>
      <c r="BU333" s="549"/>
      <c r="BV333" s="53"/>
      <c r="BW333" s="465"/>
      <c r="BZ333" s="410"/>
      <c r="CA333" s="410"/>
    </row>
    <row r="334" spans="1:79" ht="12.75" customHeight="1" x14ac:dyDescent="0.2">
      <c r="A334" s="377"/>
      <c r="B334" s="377"/>
      <c r="D334" s="465"/>
      <c r="F334" s="377"/>
      <c r="G334" s="53"/>
      <c r="H334" s="53"/>
      <c r="I334" s="53"/>
      <c r="J334" s="518"/>
      <c r="K334" s="53"/>
      <c r="L334" s="53"/>
      <c r="M334" s="53"/>
      <c r="N334" s="53"/>
      <c r="O334" s="518"/>
      <c r="P334" s="53"/>
      <c r="Q334" s="53"/>
      <c r="R334" s="53"/>
      <c r="S334" s="53"/>
      <c r="T334" s="518"/>
      <c r="U334" s="53"/>
      <c r="V334" s="53"/>
      <c r="W334" s="53"/>
      <c r="X334" s="53"/>
      <c r="Y334" s="518"/>
      <c r="Z334" s="53"/>
      <c r="AA334" s="53"/>
      <c r="AB334" s="53"/>
      <c r="AC334" s="53"/>
      <c r="AD334" s="518"/>
      <c r="AE334" s="53"/>
      <c r="AF334" s="53"/>
      <c r="AG334" s="53"/>
      <c r="AH334" s="53"/>
      <c r="AI334" s="518"/>
      <c r="AJ334" s="53"/>
      <c r="AK334" s="53"/>
      <c r="AL334" s="53"/>
      <c r="AM334" s="53"/>
      <c r="AN334" s="518"/>
      <c r="AO334" s="53"/>
      <c r="AP334" s="53"/>
      <c r="AQ334" s="53"/>
      <c r="AR334" s="53"/>
      <c r="AS334" s="518"/>
      <c r="AT334" s="53"/>
      <c r="AU334" s="53"/>
      <c r="AV334" s="53"/>
      <c r="AW334" s="53"/>
      <c r="AX334" s="518"/>
      <c r="AY334" s="53"/>
      <c r="AZ334" s="53"/>
      <c r="BA334" s="53"/>
      <c r="BB334" s="53"/>
      <c r="BC334" s="518"/>
      <c r="BD334" s="53"/>
      <c r="BE334" s="53"/>
      <c r="BF334" s="53"/>
      <c r="BG334" s="53"/>
      <c r="BH334" s="518"/>
      <c r="BI334" s="53"/>
      <c r="BJ334" s="53"/>
      <c r="BK334" s="53"/>
      <c r="BL334" s="53"/>
      <c r="BM334" s="518"/>
      <c r="BN334" s="53"/>
      <c r="BO334" s="53"/>
      <c r="BP334" s="53"/>
      <c r="BQ334" s="53"/>
      <c r="BR334" s="518"/>
      <c r="BS334" s="53"/>
      <c r="BT334" s="53"/>
      <c r="BU334" s="53"/>
      <c r="BV334" s="53"/>
      <c r="BW334" s="465"/>
      <c r="BZ334" s="410"/>
      <c r="CA334" s="410"/>
    </row>
    <row r="335" spans="1:79" x14ac:dyDescent="0.2">
      <c r="A335" s="377"/>
      <c r="B335" s="377"/>
      <c r="D335" s="465" t="s">
        <v>399</v>
      </c>
      <c r="F335" s="377"/>
      <c r="G335" s="53">
        <f>SUM(G336)</f>
        <v>0</v>
      </c>
      <c r="H335" s="53"/>
      <c r="I335" s="53"/>
      <c r="J335" s="518"/>
      <c r="K335" s="377"/>
      <c r="L335" s="53">
        <f>SUM(L336)</f>
        <v>0</v>
      </c>
      <c r="M335" s="53"/>
      <c r="N335" s="53"/>
      <c r="O335" s="518"/>
      <c r="P335" s="377"/>
      <c r="Q335" s="53">
        <f>SUM(Q336)</f>
        <v>0</v>
      </c>
      <c r="R335" s="53"/>
      <c r="S335" s="53"/>
      <c r="T335" s="518"/>
      <c r="U335" s="377"/>
      <c r="V335" s="53">
        <f>SUM(V336)</f>
        <v>0</v>
      </c>
      <c r="W335" s="53"/>
      <c r="X335" s="53"/>
      <c r="Y335" s="518"/>
      <c r="Z335" s="377"/>
      <c r="AA335" s="53">
        <f>SUM(AA336)</f>
        <v>0</v>
      </c>
      <c r="AB335" s="53"/>
      <c r="AC335" s="53"/>
      <c r="AD335" s="518"/>
      <c r="AE335" s="377"/>
      <c r="AF335" s="53">
        <f>SUM(AF336)</f>
        <v>0</v>
      </c>
      <c r="AG335" s="53"/>
      <c r="AH335" s="53"/>
      <c r="AI335" s="518"/>
      <c r="AJ335" s="377"/>
      <c r="AK335" s="53">
        <f>SUM(AK336)</f>
        <v>0</v>
      </c>
      <c r="AL335" s="53"/>
      <c r="AM335" s="53"/>
      <c r="AN335" s="518"/>
      <c r="AO335" s="377"/>
      <c r="AP335" s="53">
        <f>SUM(AP336)</f>
        <v>0</v>
      </c>
      <c r="AQ335" s="53"/>
      <c r="AR335" s="53"/>
      <c r="AS335" s="518"/>
      <c r="AT335" s="377"/>
      <c r="AU335" s="53">
        <f>SUM(AU336)</f>
        <v>0</v>
      </c>
      <c r="AV335" s="53"/>
      <c r="AW335" s="53"/>
      <c r="AX335" s="518"/>
      <c r="AY335" s="377"/>
      <c r="AZ335" s="53">
        <f>SUM(AZ336)</f>
        <v>0</v>
      </c>
      <c r="BA335" s="53"/>
      <c r="BB335" s="53"/>
      <c r="BC335" s="518"/>
      <c r="BD335" s="377"/>
      <c r="BE335" s="53">
        <f>SUM(BE336)</f>
        <v>0</v>
      </c>
      <c r="BF335" s="53"/>
      <c r="BG335" s="53"/>
      <c r="BH335" s="518"/>
      <c r="BI335" s="377"/>
      <c r="BJ335" s="53">
        <f>SUM(BJ336)</f>
        <v>0</v>
      </c>
      <c r="BK335" s="53"/>
      <c r="BL335" s="53"/>
      <c r="BM335" s="518"/>
      <c r="BN335" s="377"/>
      <c r="BO335" s="53">
        <f>SUM(BO336)</f>
        <v>0</v>
      </c>
      <c r="BP335" s="53"/>
      <c r="BQ335" s="53"/>
      <c r="BR335" s="518"/>
      <c r="BS335" s="377"/>
      <c r="BT335" s="53">
        <f>SUM(BT336:BT336)</f>
        <v>0</v>
      </c>
      <c r="BU335" s="53"/>
      <c r="BV335" s="53"/>
      <c r="BW335" s="465"/>
      <c r="BZ335" s="410"/>
      <c r="CA335" s="410"/>
    </row>
    <row r="336" spans="1:79" x14ac:dyDescent="0.2">
      <c r="A336" s="377"/>
      <c r="B336" s="377"/>
      <c r="D336" s="465" t="s">
        <v>378</v>
      </c>
      <c r="F336" s="548"/>
      <c r="G336" s="493">
        <v>0</v>
      </c>
      <c r="H336" s="549"/>
      <c r="I336" s="53"/>
      <c r="J336" s="518"/>
      <c r="K336" s="548"/>
      <c r="L336" s="493">
        <v>0</v>
      </c>
      <c r="M336" s="549"/>
      <c r="N336" s="53"/>
      <c r="O336" s="518"/>
      <c r="P336" s="548"/>
      <c r="Q336" s="493">
        <v>0</v>
      </c>
      <c r="R336" s="549"/>
      <c r="S336" s="53"/>
      <c r="T336" s="518"/>
      <c r="U336" s="548"/>
      <c r="V336" s="493">
        <v>0</v>
      </c>
      <c r="W336" s="549"/>
      <c r="X336" s="53"/>
      <c r="Y336" s="518"/>
      <c r="Z336" s="548"/>
      <c r="AA336" s="493">
        <v>0</v>
      </c>
      <c r="AB336" s="549"/>
      <c r="AC336" s="53"/>
      <c r="AD336" s="518"/>
      <c r="AE336" s="548"/>
      <c r="AF336" s="493">
        <v>0</v>
      </c>
      <c r="AG336" s="549"/>
      <c r="AH336" s="53"/>
      <c r="AI336" s="518"/>
      <c r="AJ336" s="548"/>
      <c r="AK336" s="493">
        <v>0</v>
      </c>
      <c r="AL336" s="549"/>
      <c r="AM336" s="53"/>
      <c r="AN336" s="518"/>
      <c r="AO336" s="548"/>
      <c r="AP336" s="493">
        <v>0</v>
      </c>
      <c r="AQ336" s="549"/>
      <c r="AR336" s="53"/>
      <c r="AS336" s="518"/>
      <c r="AT336" s="548"/>
      <c r="AU336" s="493">
        <v>0</v>
      </c>
      <c r="AV336" s="549"/>
      <c r="AW336" s="53"/>
      <c r="AX336" s="518"/>
      <c r="AY336" s="548"/>
      <c r="AZ336" s="493">
        <v>0</v>
      </c>
      <c r="BA336" s="549"/>
      <c r="BB336" s="53"/>
      <c r="BC336" s="518"/>
      <c r="BD336" s="548"/>
      <c r="BE336" s="493">
        <v>0</v>
      </c>
      <c r="BF336" s="549"/>
      <c r="BG336" s="53"/>
      <c r="BH336" s="518"/>
      <c r="BI336" s="548"/>
      <c r="BJ336" s="493">
        <v>0</v>
      </c>
      <c r="BK336" s="549"/>
      <c r="BL336" s="53"/>
      <c r="BM336" s="518"/>
      <c r="BN336" s="548"/>
      <c r="BO336" s="493">
        <v>0</v>
      </c>
      <c r="BP336" s="549"/>
      <c r="BQ336" s="53"/>
      <c r="BR336" s="518"/>
      <c r="BS336" s="548"/>
      <c r="BT336" s="493">
        <f>SUM(L336:BO336)</f>
        <v>0</v>
      </c>
      <c r="BU336" s="549"/>
      <c r="BV336" s="53"/>
      <c r="BW336" s="465"/>
      <c r="BZ336" s="410"/>
      <c r="CA336" s="410"/>
    </row>
    <row r="337" spans="1:79" x14ac:dyDescent="0.2">
      <c r="A337" s="377"/>
      <c r="B337" s="377"/>
      <c r="D337" s="465"/>
      <c r="F337" s="377"/>
      <c r="G337" s="53"/>
      <c r="H337" s="53"/>
      <c r="I337" s="53"/>
      <c r="J337" s="518"/>
      <c r="K337" s="53"/>
      <c r="L337" s="53"/>
      <c r="M337" s="53"/>
      <c r="N337" s="53"/>
      <c r="O337" s="518"/>
      <c r="P337" s="53"/>
      <c r="Q337" s="53"/>
      <c r="R337" s="53"/>
      <c r="S337" s="53"/>
      <c r="T337" s="518"/>
      <c r="U337" s="53"/>
      <c r="V337" s="53"/>
      <c r="W337" s="53"/>
      <c r="X337" s="53"/>
      <c r="Y337" s="518"/>
      <c r="Z337" s="53"/>
      <c r="AA337" s="53"/>
      <c r="AB337" s="53"/>
      <c r="AC337" s="53"/>
      <c r="AD337" s="518"/>
      <c r="AE337" s="53"/>
      <c r="AF337" s="53"/>
      <c r="AG337" s="53"/>
      <c r="AH337" s="53"/>
      <c r="AI337" s="518"/>
      <c r="AJ337" s="53"/>
      <c r="AK337" s="53"/>
      <c r="AL337" s="53"/>
      <c r="AM337" s="53"/>
      <c r="AN337" s="518"/>
      <c r="AO337" s="53"/>
      <c r="AP337" s="53"/>
      <c r="AQ337" s="53"/>
      <c r="AR337" s="53"/>
      <c r="AS337" s="518"/>
      <c r="AT337" s="53"/>
      <c r="AU337" s="53"/>
      <c r="AV337" s="53"/>
      <c r="AW337" s="53"/>
      <c r="AX337" s="518"/>
      <c r="AY337" s="53"/>
      <c r="AZ337" s="53"/>
      <c r="BA337" s="53"/>
      <c r="BB337" s="53"/>
      <c r="BC337" s="518"/>
      <c r="BD337" s="53"/>
      <c r="BE337" s="53"/>
      <c r="BF337" s="53"/>
      <c r="BG337" s="53"/>
      <c r="BH337" s="518"/>
      <c r="BI337" s="53"/>
      <c r="BJ337" s="53"/>
      <c r="BK337" s="53"/>
      <c r="BL337" s="53"/>
      <c r="BM337" s="518"/>
      <c r="BN337" s="53"/>
      <c r="BO337" s="53"/>
      <c r="BP337" s="53"/>
      <c r="BQ337" s="53"/>
      <c r="BR337" s="518"/>
      <c r="BS337" s="53"/>
      <c r="BT337" s="53"/>
      <c r="BU337" s="53"/>
      <c r="BV337" s="53"/>
      <c r="BW337" s="465"/>
      <c r="BZ337" s="410"/>
      <c r="CA337" s="410"/>
    </row>
    <row r="338" spans="1:79" x14ac:dyDescent="0.2">
      <c r="A338" s="377"/>
      <c r="B338" s="377"/>
      <c r="D338" s="465" t="s">
        <v>392</v>
      </c>
      <c r="G338" s="38">
        <v>0</v>
      </c>
      <c r="I338" s="53"/>
      <c r="J338" s="518"/>
      <c r="K338" s="53"/>
      <c r="L338" s="53">
        <f>SUM(L339:L339)</f>
        <v>0</v>
      </c>
      <c r="M338" s="53"/>
      <c r="N338" s="53"/>
      <c r="O338" s="518"/>
      <c r="P338" s="53"/>
      <c r="Q338" s="53">
        <f>SUM(Q339:Q339)</f>
        <v>0</v>
      </c>
      <c r="R338" s="53"/>
      <c r="S338" s="53"/>
      <c r="T338" s="518"/>
      <c r="U338" s="53"/>
      <c r="V338" s="53">
        <f>SUM(V339:V339)</f>
        <v>0</v>
      </c>
      <c r="W338" s="53"/>
      <c r="X338" s="53"/>
      <c r="Y338" s="518"/>
      <c r="Z338" s="53"/>
      <c r="AA338" s="53">
        <f>SUM(AA339:AA339)</f>
        <v>0</v>
      </c>
      <c r="AB338" s="53"/>
      <c r="AC338" s="53"/>
      <c r="AD338" s="518"/>
      <c r="AE338" s="53"/>
      <c r="AF338" s="53">
        <f>SUM(AF339:AF339)</f>
        <v>0</v>
      </c>
      <c r="AG338" s="53"/>
      <c r="AH338" s="53"/>
      <c r="AI338" s="518"/>
      <c r="AJ338" s="53"/>
      <c r="AK338" s="53">
        <f>SUM(AK339:AK339)</f>
        <v>18552</v>
      </c>
      <c r="AL338" s="53"/>
      <c r="AM338" s="53"/>
      <c r="AN338" s="518"/>
      <c r="AO338" s="53"/>
      <c r="AP338" s="53">
        <f>SUM(AP339:AP339)</f>
        <v>0</v>
      </c>
      <c r="AQ338" s="53"/>
      <c r="AR338" s="53"/>
      <c r="AS338" s="518"/>
      <c r="AT338" s="53"/>
      <c r="AU338" s="53">
        <f>SUM(AU339:AU339)</f>
        <v>0</v>
      </c>
      <c r="AV338" s="53"/>
      <c r="AW338" s="53"/>
      <c r="AX338" s="518"/>
      <c r="AY338" s="53"/>
      <c r="AZ338" s="53">
        <f>SUM(AZ339:AZ339)</f>
        <v>0</v>
      </c>
      <c r="BA338" s="53"/>
      <c r="BB338" s="53"/>
      <c r="BC338" s="518"/>
      <c r="BD338" s="53"/>
      <c r="BE338" s="53">
        <f>SUM(BE339:BE339)</f>
        <v>0</v>
      </c>
      <c r="BF338" s="53"/>
      <c r="BG338" s="53"/>
      <c r="BH338" s="518"/>
      <c r="BI338" s="53"/>
      <c r="BJ338" s="53">
        <f>SUM(BJ339:BJ339)</f>
        <v>0</v>
      </c>
      <c r="BK338" s="53"/>
      <c r="BL338" s="53"/>
      <c r="BM338" s="518"/>
      <c r="BN338" s="53"/>
      <c r="BO338" s="53">
        <f>SUM(BO339:BO339)</f>
        <v>0</v>
      </c>
      <c r="BP338" s="53"/>
      <c r="BQ338" s="53"/>
      <c r="BR338" s="518"/>
      <c r="BS338" s="53"/>
      <c r="BT338" s="53">
        <f>SUM(BT339:BT339)</f>
        <v>18552</v>
      </c>
      <c r="BU338" s="53"/>
      <c r="BV338" s="53"/>
      <c r="BW338" s="465"/>
      <c r="BZ338" s="410"/>
      <c r="CA338" s="410"/>
    </row>
    <row r="339" spans="1:79" x14ac:dyDescent="0.2">
      <c r="A339" s="377"/>
      <c r="B339" s="377"/>
      <c r="D339" s="465" t="s">
        <v>378</v>
      </c>
      <c r="F339" s="548"/>
      <c r="G339" s="493">
        <v>0</v>
      </c>
      <c r="H339" s="549"/>
      <c r="I339" s="53"/>
      <c r="J339" s="518"/>
      <c r="K339" s="548"/>
      <c r="L339" s="493">
        <v>0</v>
      </c>
      <c r="M339" s="549"/>
      <c r="N339" s="53"/>
      <c r="O339" s="518"/>
      <c r="P339" s="548"/>
      <c r="Q339" s="493">
        <v>0</v>
      </c>
      <c r="R339" s="549"/>
      <c r="S339" s="53"/>
      <c r="T339" s="518"/>
      <c r="U339" s="548"/>
      <c r="V339" s="493">
        <v>0</v>
      </c>
      <c r="W339" s="549"/>
      <c r="X339" s="53"/>
      <c r="Y339" s="518"/>
      <c r="Z339" s="548"/>
      <c r="AA339" s="493">
        <v>0</v>
      </c>
      <c r="AB339" s="549"/>
      <c r="AC339" s="53"/>
      <c r="AD339" s="518"/>
      <c r="AE339" s="548"/>
      <c r="AF339" s="493">
        <v>0</v>
      </c>
      <c r="AG339" s="549"/>
      <c r="AH339" s="53"/>
      <c r="AI339" s="518"/>
      <c r="AJ339" s="548"/>
      <c r="AK339" s="493">
        <v>18552</v>
      </c>
      <c r="AL339" s="549"/>
      <c r="AM339" s="53"/>
      <c r="AN339" s="518"/>
      <c r="AO339" s="548"/>
      <c r="AP339" s="493">
        <v>0</v>
      </c>
      <c r="AQ339" s="549"/>
      <c r="AR339" s="53"/>
      <c r="AS339" s="518"/>
      <c r="AT339" s="548"/>
      <c r="AU339" s="493">
        <v>0</v>
      </c>
      <c r="AV339" s="549"/>
      <c r="AW339" s="53"/>
      <c r="AX339" s="518"/>
      <c r="AY339" s="548"/>
      <c r="AZ339" s="493">
        <v>0</v>
      </c>
      <c r="BA339" s="549"/>
      <c r="BB339" s="53"/>
      <c r="BC339" s="518"/>
      <c r="BD339" s="548"/>
      <c r="BE339" s="493">
        <v>0</v>
      </c>
      <c r="BF339" s="549"/>
      <c r="BG339" s="53"/>
      <c r="BH339" s="518"/>
      <c r="BI339" s="548"/>
      <c r="BJ339" s="493">
        <v>0</v>
      </c>
      <c r="BK339" s="549"/>
      <c r="BL339" s="53"/>
      <c r="BM339" s="518"/>
      <c r="BN339" s="548"/>
      <c r="BO339" s="493">
        <v>0</v>
      </c>
      <c r="BP339" s="549"/>
      <c r="BQ339" s="53"/>
      <c r="BR339" s="518"/>
      <c r="BS339" s="548"/>
      <c r="BT339" s="493">
        <f>SUM(L339:BO339)</f>
        <v>18552</v>
      </c>
      <c r="BU339" s="549"/>
      <c r="BV339" s="53"/>
      <c r="BW339" s="465"/>
      <c r="BZ339" s="410"/>
      <c r="CA339" s="410"/>
    </row>
    <row r="340" spans="1:79" hidden="1" x14ac:dyDescent="0.2">
      <c r="A340" s="377"/>
      <c r="B340" s="377"/>
      <c r="D340" s="465"/>
      <c r="F340" s="377"/>
      <c r="G340" s="53"/>
      <c r="H340" s="53"/>
      <c r="I340" s="53"/>
      <c r="J340" s="518"/>
      <c r="K340" s="377"/>
      <c r="L340" s="53"/>
      <c r="M340" s="53"/>
      <c r="N340" s="53"/>
      <c r="O340" s="518"/>
      <c r="P340" s="377"/>
      <c r="Q340" s="53"/>
      <c r="R340" s="53"/>
      <c r="S340" s="53"/>
      <c r="T340" s="518"/>
      <c r="U340" s="377"/>
      <c r="V340" s="53"/>
      <c r="W340" s="53"/>
      <c r="X340" s="53"/>
      <c r="Y340" s="518"/>
      <c r="Z340" s="377"/>
      <c r="AA340" s="53"/>
      <c r="AB340" s="53"/>
      <c r="AC340" s="53"/>
      <c r="AD340" s="518"/>
      <c r="AE340" s="377"/>
      <c r="AF340" s="53"/>
      <c r="AG340" s="53"/>
      <c r="AH340" s="53"/>
      <c r="AI340" s="518"/>
      <c r="AJ340" s="377"/>
      <c r="AK340" s="53"/>
      <c r="AL340" s="53"/>
      <c r="AM340" s="53"/>
      <c r="AN340" s="518"/>
      <c r="AO340" s="377"/>
      <c r="AP340" s="53"/>
      <c r="AQ340" s="53"/>
      <c r="AR340" s="53"/>
      <c r="AS340" s="518"/>
      <c r="AT340" s="377"/>
      <c r="AU340" s="53"/>
      <c r="AV340" s="53"/>
      <c r="AW340" s="53"/>
      <c r="AX340" s="518"/>
      <c r="AY340" s="377"/>
      <c r="AZ340" s="53"/>
      <c r="BA340" s="53"/>
      <c r="BB340" s="53"/>
      <c r="BC340" s="518"/>
      <c r="BD340" s="377"/>
      <c r="BE340" s="53"/>
      <c r="BF340" s="53"/>
      <c r="BG340" s="53"/>
      <c r="BH340" s="518"/>
      <c r="BI340" s="377"/>
      <c r="BJ340" s="53"/>
      <c r="BK340" s="53"/>
      <c r="BL340" s="53"/>
      <c r="BM340" s="518"/>
      <c r="BN340" s="377"/>
      <c r="BO340" s="53"/>
      <c r="BP340" s="53"/>
      <c r="BQ340" s="53"/>
      <c r="BR340" s="518"/>
      <c r="BS340" s="377"/>
      <c r="BT340" s="53"/>
      <c r="BU340" s="53"/>
      <c r="BV340" s="53"/>
      <c r="BW340" s="465"/>
      <c r="BZ340" s="410"/>
      <c r="CA340" s="410"/>
    </row>
    <row r="341" spans="1:79" hidden="1" x14ac:dyDescent="0.2">
      <c r="A341" s="377"/>
      <c r="B341" s="377"/>
      <c r="D341" s="465" t="s">
        <v>408</v>
      </c>
      <c r="G341" s="38">
        <v>0</v>
      </c>
      <c r="I341" s="53"/>
      <c r="J341" s="518"/>
      <c r="K341" s="53"/>
      <c r="L341" s="53">
        <f>SUM(L342:L342)</f>
        <v>0</v>
      </c>
      <c r="M341" s="53"/>
      <c r="N341" s="53"/>
      <c r="O341" s="518"/>
      <c r="P341" s="53"/>
      <c r="Q341" s="53">
        <f>SUM(Q342:Q342)</f>
        <v>0</v>
      </c>
      <c r="R341" s="53"/>
      <c r="S341" s="53"/>
      <c r="T341" s="518"/>
      <c r="U341" s="53"/>
      <c r="V341" s="53">
        <f>SUM(V342:V342)</f>
        <v>0</v>
      </c>
      <c r="W341" s="53"/>
      <c r="X341" s="53"/>
      <c r="Y341" s="518"/>
      <c r="Z341" s="53"/>
      <c r="AA341" s="53">
        <f>SUM(AA342:AA342)</f>
        <v>0</v>
      </c>
      <c r="AB341" s="53"/>
      <c r="AC341" s="53"/>
      <c r="AD341" s="518"/>
      <c r="AE341" s="53"/>
      <c r="AF341" s="53">
        <f>SUM(AF342:AF342)</f>
        <v>0</v>
      </c>
      <c r="AG341" s="53"/>
      <c r="AH341" s="53"/>
      <c r="AI341" s="518"/>
      <c r="AJ341" s="53"/>
      <c r="AK341" s="53">
        <f>SUM(AK342:AK342)</f>
        <v>0</v>
      </c>
      <c r="AL341" s="53"/>
      <c r="AM341" s="53"/>
      <c r="AN341" s="518"/>
      <c r="AO341" s="53"/>
      <c r="AP341" s="53">
        <f>SUM(AP342:AP342)</f>
        <v>0</v>
      </c>
      <c r="AQ341" s="53"/>
      <c r="AR341" s="53"/>
      <c r="AS341" s="518"/>
      <c r="AT341" s="53"/>
      <c r="AU341" s="53">
        <f>SUM(AU342:AU342)</f>
        <v>0</v>
      </c>
      <c r="AV341" s="53"/>
      <c r="AW341" s="53"/>
      <c r="AX341" s="518"/>
      <c r="AY341" s="53"/>
      <c r="AZ341" s="53">
        <f>SUM(AZ342:AZ342)</f>
        <v>0</v>
      </c>
      <c r="BA341" s="53"/>
      <c r="BB341" s="53"/>
      <c r="BC341" s="518"/>
      <c r="BD341" s="53"/>
      <c r="BE341" s="53">
        <f>SUM(BE342:BE342)</f>
        <v>0</v>
      </c>
      <c r="BF341" s="53"/>
      <c r="BG341" s="53"/>
      <c r="BH341" s="518"/>
      <c r="BI341" s="53"/>
      <c r="BJ341" s="53">
        <f>SUM(BJ342:BJ342)</f>
        <v>0</v>
      </c>
      <c r="BK341" s="53"/>
      <c r="BL341" s="53"/>
      <c r="BM341" s="518"/>
      <c r="BN341" s="53"/>
      <c r="BO341" s="53">
        <f>SUM(BO342:BO342)</f>
        <v>0</v>
      </c>
      <c r="BP341" s="53"/>
      <c r="BQ341" s="53"/>
      <c r="BR341" s="518"/>
      <c r="BS341" s="377"/>
      <c r="BT341" s="53">
        <f>SUM(BT342:BT342)</f>
        <v>0</v>
      </c>
      <c r="BU341" s="53"/>
      <c r="BV341" s="53"/>
      <c r="BW341" s="465"/>
      <c r="BZ341" s="410"/>
      <c r="CA341" s="410"/>
    </row>
    <row r="342" spans="1:79" hidden="1" x14ac:dyDescent="0.2">
      <c r="A342" s="377"/>
      <c r="B342" s="377"/>
      <c r="D342" s="465" t="s">
        <v>378</v>
      </c>
      <c r="F342" s="548"/>
      <c r="G342" s="493">
        <v>0</v>
      </c>
      <c r="H342" s="549"/>
      <c r="I342" s="53"/>
      <c r="J342" s="518"/>
      <c r="K342" s="548"/>
      <c r="L342" s="493">
        <v>0</v>
      </c>
      <c r="M342" s="549"/>
      <c r="N342" s="53"/>
      <c r="O342" s="518"/>
      <c r="P342" s="548"/>
      <c r="Q342" s="493">
        <v>0</v>
      </c>
      <c r="R342" s="549"/>
      <c r="S342" s="53"/>
      <c r="T342" s="518"/>
      <c r="U342" s="548"/>
      <c r="V342" s="493">
        <v>0</v>
      </c>
      <c r="W342" s="549"/>
      <c r="X342" s="53"/>
      <c r="Y342" s="518"/>
      <c r="Z342" s="548"/>
      <c r="AA342" s="493">
        <v>0</v>
      </c>
      <c r="AB342" s="549"/>
      <c r="AC342" s="53"/>
      <c r="AD342" s="518"/>
      <c r="AE342" s="548"/>
      <c r="AF342" s="493">
        <v>0</v>
      </c>
      <c r="AG342" s="549"/>
      <c r="AH342" s="53"/>
      <c r="AI342" s="518"/>
      <c r="AJ342" s="548"/>
      <c r="AK342" s="493">
        <v>0</v>
      </c>
      <c r="AL342" s="549"/>
      <c r="AM342" s="53"/>
      <c r="AN342" s="518"/>
      <c r="AO342" s="548"/>
      <c r="AP342" s="493">
        <v>0</v>
      </c>
      <c r="AQ342" s="549"/>
      <c r="AR342" s="53"/>
      <c r="AS342" s="518"/>
      <c r="AT342" s="548"/>
      <c r="AU342" s="493">
        <v>0</v>
      </c>
      <c r="AV342" s="549"/>
      <c r="AW342" s="53"/>
      <c r="AX342" s="518"/>
      <c r="AY342" s="548"/>
      <c r="AZ342" s="493">
        <v>0</v>
      </c>
      <c r="BA342" s="549"/>
      <c r="BB342" s="53"/>
      <c r="BC342" s="518"/>
      <c r="BD342" s="548"/>
      <c r="BE342" s="493">
        <v>0</v>
      </c>
      <c r="BF342" s="549"/>
      <c r="BG342" s="53"/>
      <c r="BH342" s="518"/>
      <c r="BI342" s="548"/>
      <c r="BJ342" s="493">
        <v>0</v>
      </c>
      <c r="BK342" s="549"/>
      <c r="BL342" s="53"/>
      <c r="BM342" s="518"/>
      <c r="BN342" s="548"/>
      <c r="BO342" s="493">
        <v>0</v>
      </c>
      <c r="BP342" s="549"/>
      <c r="BQ342" s="53"/>
      <c r="BR342" s="518"/>
      <c r="BS342" s="548"/>
      <c r="BT342" s="493">
        <f>SUM(L342:BO342)</f>
        <v>0</v>
      </c>
      <c r="BU342" s="549"/>
      <c r="BV342" s="53"/>
      <c r="BW342" s="465"/>
      <c r="BZ342" s="410"/>
      <c r="CA342" s="410"/>
    </row>
    <row r="343" spans="1:79" x14ac:dyDescent="0.2">
      <c r="A343" s="377"/>
      <c r="B343" s="377"/>
      <c r="D343" s="465"/>
      <c r="F343" s="377"/>
      <c r="G343" s="53"/>
      <c r="H343" s="53"/>
      <c r="I343" s="53"/>
      <c r="J343" s="518"/>
      <c r="K343" s="377"/>
      <c r="L343" s="53"/>
      <c r="M343" s="53"/>
      <c r="N343" s="53"/>
      <c r="O343" s="518"/>
      <c r="P343" s="377"/>
      <c r="Q343" s="53"/>
      <c r="R343" s="53"/>
      <c r="S343" s="53"/>
      <c r="T343" s="518"/>
      <c r="U343" s="377"/>
      <c r="V343" s="53"/>
      <c r="W343" s="53"/>
      <c r="X343" s="53"/>
      <c r="Y343" s="518"/>
      <c r="Z343" s="377"/>
      <c r="AA343" s="53"/>
      <c r="AB343" s="53"/>
      <c r="AC343" s="53"/>
      <c r="AD343" s="518"/>
      <c r="AE343" s="377"/>
      <c r="AF343" s="53"/>
      <c r="AG343" s="53"/>
      <c r="AH343" s="53"/>
      <c r="AI343" s="518"/>
      <c r="AJ343" s="377"/>
      <c r="AK343" s="53"/>
      <c r="AL343" s="53"/>
      <c r="AM343" s="53"/>
      <c r="AN343" s="518"/>
      <c r="AO343" s="377"/>
      <c r="AP343" s="53"/>
      <c r="AQ343" s="53"/>
      <c r="AR343" s="53"/>
      <c r="AS343" s="518"/>
      <c r="AT343" s="377"/>
      <c r="AU343" s="53"/>
      <c r="AV343" s="53"/>
      <c r="AW343" s="53"/>
      <c r="AX343" s="518"/>
      <c r="AY343" s="377"/>
      <c r="AZ343" s="53"/>
      <c r="BA343" s="53"/>
      <c r="BB343" s="53"/>
      <c r="BC343" s="518"/>
      <c r="BD343" s="377"/>
      <c r="BE343" s="53"/>
      <c r="BF343" s="53"/>
      <c r="BG343" s="53"/>
      <c r="BH343" s="518"/>
      <c r="BI343" s="377"/>
      <c r="BJ343" s="53"/>
      <c r="BK343" s="53"/>
      <c r="BL343" s="53"/>
      <c r="BM343" s="518"/>
      <c r="BN343" s="377"/>
      <c r="BO343" s="53"/>
      <c r="BP343" s="53"/>
      <c r="BQ343" s="53"/>
      <c r="BR343" s="518"/>
      <c r="BS343" s="377"/>
      <c r="BT343" s="53"/>
      <c r="BU343" s="53"/>
      <c r="BV343" s="53"/>
      <c r="BW343" s="465"/>
      <c r="BZ343" s="410"/>
      <c r="CA343" s="410"/>
    </row>
    <row r="344" spans="1:79" ht="12.75" customHeight="1" x14ac:dyDescent="0.2">
      <c r="A344" s="377"/>
      <c r="B344" s="377"/>
      <c r="D344" s="465" t="s">
        <v>444</v>
      </c>
      <c r="G344" s="38">
        <f>SUM(G345)</f>
        <v>0</v>
      </c>
      <c r="I344" s="53"/>
      <c r="J344" s="518"/>
      <c r="K344" s="53"/>
      <c r="L344" s="53">
        <f>SUM(L345:L345)</f>
        <v>0</v>
      </c>
      <c r="M344" s="53"/>
      <c r="N344" s="53"/>
      <c r="O344" s="518"/>
      <c r="P344" s="53"/>
      <c r="Q344" s="53">
        <f>SUM(Q345:Q345)</f>
        <v>0</v>
      </c>
      <c r="R344" s="53"/>
      <c r="S344" s="53"/>
      <c r="T344" s="518"/>
      <c r="U344" s="53"/>
      <c r="V344" s="53">
        <f>SUM(V345:V345)</f>
        <v>0</v>
      </c>
      <c r="W344" s="53"/>
      <c r="X344" s="53"/>
      <c r="Y344" s="518"/>
      <c r="Z344" s="53"/>
      <c r="AA344" s="53">
        <f>SUM(AA345:AA345)</f>
        <v>0</v>
      </c>
      <c r="AB344" s="53"/>
      <c r="AC344" s="53"/>
      <c r="AD344" s="518"/>
      <c r="AE344" s="53"/>
      <c r="AF344" s="53">
        <f>SUM(AF345:AF345)</f>
        <v>0</v>
      </c>
      <c r="AG344" s="53"/>
      <c r="AH344" s="53"/>
      <c r="AI344" s="518"/>
      <c r="AJ344" s="53"/>
      <c r="AK344" s="53">
        <f>SUM(AK345:AK345)</f>
        <v>0</v>
      </c>
      <c r="AL344" s="53"/>
      <c r="AM344" s="53"/>
      <c r="AN344" s="518"/>
      <c r="AO344" s="53"/>
      <c r="AP344" s="53">
        <f>SUM(AP345:AP345)</f>
        <v>0</v>
      </c>
      <c r="AQ344" s="53"/>
      <c r="AR344" s="53"/>
      <c r="AS344" s="518"/>
      <c r="AT344" s="53"/>
      <c r="AU344" s="53">
        <f>SUM(AU345:AU345)</f>
        <v>0</v>
      </c>
      <c r="AV344" s="53"/>
      <c r="AW344" s="53"/>
      <c r="AX344" s="518"/>
      <c r="AY344" s="53"/>
      <c r="AZ344" s="53">
        <f>SUM(AZ345:AZ345)</f>
        <v>0</v>
      </c>
      <c r="BA344" s="53"/>
      <c r="BB344" s="53"/>
      <c r="BC344" s="518"/>
      <c r="BD344" s="53"/>
      <c r="BE344" s="53">
        <f>SUM(BE345:BE345)</f>
        <v>0</v>
      </c>
      <c r="BF344" s="53"/>
      <c r="BG344" s="53"/>
      <c r="BH344" s="518"/>
      <c r="BI344" s="53"/>
      <c r="BJ344" s="53">
        <f>SUM(BJ345:BJ345)</f>
        <v>0</v>
      </c>
      <c r="BK344" s="53"/>
      <c r="BL344" s="53"/>
      <c r="BM344" s="518"/>
      <c r="BN344" s="53"/>
      <c r="BO344" s="53">
        <f>SUM(BO345:BO345)</f>
        <v>0</v>
      </c>
      <c r="BP344" s="53"/>
      <c r="BQ344" s="53"/>
      <c r="BR344" s="518"/>
      <c r="BS344" s="377"/>
      <c r="BT344" s="53">
        <f>SUM(BT345:BT345)</f>
        <v>0</v>
      </c>
      <c r="BU344" s="53"/>
      <c r="BV344" s="53"/>
      <c r="BW344" s="465"/>
      <c r="BZ344" s="410"/>
      <c r="CA344" s="410"/>
    </row>
    <row r="345" spans="1:79" ht="12.75" customHeight="1" x14ac:dyDescent="0.2">
      <c r="A345" s="377"/>
      <c r="B345" s="377"/>
      <c r="D345" s="465" t="s">
        <v>378</v>
      </c>
      <c r="F345" s="548"/>
      <c r="G345" s="493">
        <v>0</v>
      </c>
      <c r="H345" s="549"/>
      <c r="I345" s="53"/>
      <c r="J345" s="518"/>
      <c r="K345" s="548"/>
      <c r="L345" s="493">
        <v>0</v>
      </c>
      <c r="M345" s="549"/>
      <c r="N345" s="53"/>
      <c r="O345" s="518"/>
      <c r="P345" s="548"/>
      <c r="Q345" s="493">
        <v>0</v>
      </c>
      <c r="R345" s="549"/>
      <c r="S345" s="53"/>
      <c r="T345" s="518"/>
      <c r="U345" s="548"/>
      <c r="V345" s="493">
        <v>0</v>
      </c>
      <c r="W345" s="549"/>
      <c r="X345" s="53"/>
      <c r="Y345" s="518"/>
      <c r="Z345" s="548"/>
      <c r="AA345" s="493">
        <v>0</v>
      </c>
      <c r="AB345" s="549"/>
      <c r="AC345" s="53"/>
      <c r="AD345" s="518"/>
      <c r="AE345" s="548"/>
      <c r="AF345" s="493">
        <v>0</v>
      </c>
      <c r="AG345" s="549"/>
      <c r="AH345" s="53"/>
      <c r="AI345" s="518"/>
      <c r="AJ345" s="548"/>
      <c r="AK345" s="493">
        <v>0</v>
      </c>
      <c r="AL345" s="549"/>
      <c r="AM345" s="53"/>
      <c r="AN345" s="518"/>
      <c r="AO345" s="548"/>
      <c r="AP345" s="493">
        <v>0</v>
      </c>
      <c r="AQ345" s="549"/>
      <c r="AR345" s="53"/>
      <c r="AS345" s="518"/>
      <c r="AT345" s="548"/>
      <c r="AU345" s="493">
        <v>0</v>
      </c>
      <c r="AV345" s="549"/>
      <c r="AW345" s="53"/>
      <c r="AX345" s="518"/>
      <c r="AY345" s="548"/>
      <c r="AZ345" s="493">
        <v>0</v>
      </c>
      <c r="BA345" s="549"/>
      <c r="BB345" s="53"/>
      <c r="BC345" s="518"/>
      <c r="BD345" s="548"/>
      <c r="BE345" s="493">
        <v>0</v>
      </c>
      <c r="BF345" s="549"/>
      <c r="BG345" s="53"/>
      <c r="BH345" s="518"/>
      <c r="BI345" s="548"/>
      <c r="BJ345" s="493">
        <v>0</v>
      </c>
      <c r="BK345" s="549"/>
      <c r="BL345" s="53"/>
      <c r="BM345" s="518"/>
      <c r="BN345" s="548"/>
      <c r="BO345" s="493">
        <v>0</v>
      </c>
      <c r="BP345" s="549"/>
      <c r="BQ345" s="53"/>
      <c r="BR345" s="518"/>
      <c r="BS345" s="548"/>
      <c r="BT345" s="493">
        <f>SUM(L345:BO345)</f>
        <v>0</v>
      </c>
      <c r="BU345" s="549"/>
      <c r="BV345" s="53"/>
      <c r="BW345" s="465"/>
      <c r="BZ345" s="410"/>
      <c r="CA345" s="410"/>
    </row>
    <row r="346" spans="1:79" ht="12.75" customHeight="1" x14ac:dyDescent="0.2">
      <c r="A346" s="377"/>
      <c r="B346" s="377"/>
      <c r="D346" s="465"/>
      <c r="F346" s="377"/>
      <c r="G346" s="53"/>
      <c r="H346" s="53"/>
      <c r="I346" s="53"/>
      <c r="J346" s="518"/>
      <c r="K346" s="377"/>
      <c r="L346" s="53"/>
      <c r="M346" s="53"/>
      <c r="N346" s="53"/>
      <c r="O346" s="518"/>
      <c r="P346" s="377"/>
      <c r="Q346" s="53"/>
      <c r="R346" s="53"/>
      <c r="S346" s="53"/>
      <c r="T346" s="518"/>
      <c r="U346" s="377"/>
      <c r="V346" s="53"/>
      <c r="W346" s="53"/>
      <c r="X346" s="53"/>
      <c r="Y346" s="518"/>
      <c r="Z346" s="377"/>
      <c r="AA346" s="53"/>
      <c r="AB346" s="53"/>
      <c r="AC346" s="53"/>
      <c r="AD346" s="518"/>
      <c r="AE346" s="377"/>
      <c r="AF346" s="53"/>
      <c r="AG346" s="53"/>
      <c r="AH346" s="53"/>
      <c r="AI346" s="518"/>
      <c r="AJ346" s="377"/>
      <c r="AK346" s="53"/>
      <c r="AL346" s="53"/>
      <c r="AM346" s="53"/>
      <c r="AN346" s="518"/>
      <c r="AO346" s="377"/>
      <c r="AP346" s="53"/>
      <c r="AQ346" s="53"/>
      <c r="AR346" s="53"/>
      <c r="AS346" s="518"/>
      <c r="AT346" s="377"/>
      <c r="AU346" s="53"/>
      <c r="AV346" s="53"/>
      <c r="AW346" s="53"/>
      <c r="AX346" s="518"/>
      <c r="AY346" s="377"/>
      <c r="AZ346" s="53"/>
      <c r="BA346" s="53"/>
      <c r="BB346" s="53"/>
      <c r="BC346" s="518"/>
      <c r="BD346" s="377"/>
      <c r="BE346" s="53"/>
      <c r="BF346" s="53"/>
      <c r="BG346" s="53"/>
      <c r="BH346" s="518"/>
      <c r="BI346" s="377"/>
      <c r="BJ346" s="53"/>
      <c r="BK346" s="53"/>
      <c r="BL346" s="53"/>
      <c r="BM346" s="518"/>
      <c r="BN346" s="377"/>
      <c r="BO346" s="53"/>
      <c r="BP346" s="53"/>
      <c r="BQ346" s="53"/>
      <c r="BR346" s="518"/>
      <c r="BS346" s="377"/>
      <c r="BT346" s="53"/>
      <c r="BU346" s="53"/>
      <c r="BV346" s="53"/>
      <c r="BW346" s="465"/>
      <c r="BZ346" s="410"/>
      <c r="CA346" s="410"/>
    </row>
    <row r="347" spans="1:79" x14ac:dyDescent="0.2">
      <c r="A347" s="377"/>
      <c r="B347" s="377"/>
      <c r="D347" s="465" t="s">
        <v>406</v>
      </c>
      <c r="G347" s="38">
        <v>0</v>
      </c>
      <c r="I347" s="53"/>
      <c r="J347" s="518"/>
      <c r="K347" s="53"/>
      <c r="L347" s="53">
        <f>SUM(L348:L348)</f>
        <v>0</v>
      </c>
      <c r="M347" s="53"/>
      <c r="N347" s="53"/>
      <c r="O347" s="518"/>
      <c r="P347" s="53"/>
      <c r="Q347" s="53">
        <f>SUM(Q348:Q348)</f>
        <v>0</v>
      </c>
      <c r="R347" s="53"/>
      <c r="S347" s="53"/>
      <c r="T347" s="518"/>
      <c r="U347" s="53"/>
      <c r="V347" s="53">
        <f>SUM(V348:V348)</f>
        <v>0</v>
      </c>
      <c r="W347" s="53"/>
      <c r="X347" s="53"/>
      <c r="Y347" s="518"/>
      <c r="Z347" s="53"/>
      <c r="AA347" s="53">
        <f>SUM(AA348:AA348)</f>
        <v>0</v>
      </c>
      <c r="AB347" s="53"/>
      <c r="AC347" s="53"/>
      <c r="AD347" s="518"/>
      <c r="AE347" s="53"/>
      <c r="AF347" s="53">
        <f>SUM(AF348:AF348)</f>
        <v>0</v>
      </c>
      <c r="AG347" s="53"/>
      <c r="AH347" s="53"/>
      <c r="AI347" s="518"/>
      <c r="AJ347" s="53"/>
      <c r="AK347" s="53">
        <f>SUM(AK348:AK348)</f>
        <v>0</v>
      </c>
      <c r="AL347" s="53"/>
      <c r="AM347" s="53"/>
      <c r="AN347" s="518"/>
      <c r="AO347" s="53"/>
      <c r="AP347" s="53">
        <f>SUM(AP348:AP348)</f>
        <v>0</v>
      </c>
      <c r="AQ347" s="53"/>
      <c r="AR347" s="53"/>
      <c r="AS347" s="518"/>
      <c r="AT347" s="53"/>
      <c r="AU347" s="53">
        <f>SUM(AU348:AU348)</f>
        <v>0</v>
      </c>
      <c r="AV347" s="53"/>
      <c r="AW347" s="53"/>
      <c r="AX347" s="518"/>
      <c r="AY347" s="53"/>
      <c r="AZ347" s="53">
        <f>SUM(AZ348:AZ348)</f>
        <v>0</v>
      </c>
      <c r="BA347" s="53"/>
      <c r="BB347" s="53"/>
      <c r="BC347" s="518"/>
      <c r="BD347" s="53"/>
      <c r="BE347" s="53">
        <f>SUM(BE348:BE348)</f>
        <v>0</v>
      </c>
      <c r="BF347" s="53"/>
      <c r="BG347" s="53"/>
      <c r="BH347" s="518"/>
      <c r="BI347" s="53"/>
      <c r="BJ347" s="53">
        <f>SUM(BJ348:BJ348)</f>
        <v>0</v>
      </c>
      <c r="BK347" s="53"/>
      <c r="BL347" s="53"/>
      <c r="BM347" s="518"/>
      <c r="BN347" s="53"/>
      <c r="BO347" s="53">
        <f>SUM(BO348:BO348)</f>
        <v>0</v>
      </c>
      <c r="BP347" s="53"/>
      <c r="BQ347" s="53"/>
      <c r="BR347" s="518"/>
      <c r="BS347" s="377"/>
      <c r="BT347" s="53">
        <f>SUM(BT348:BT348)</f>
        <v>0</v>
      </c>
      <c r="BU347" s="53"/>
      <c r="BV347" s="53"/>
      <c r="BW347" s="465"/>
      <c r="BZ347" s="410"/>
      <c r="CA347" s="410"/>
    </row>
    <row r="348" spans="1:79" x14ac:dyDescent="0.2">
      <c r="A348" s="377"/>
      <c r="B348" s="377"/>
      <c r="D348" s="465" t="s">
        <v>378</v>
      </c>
      <c r="F348" s="548"/>
      <c r="G348" s="493">
        <v>0</v>
      </c>
      <c r="H348" s="549"/>
      <c r="I348" s="53"/>
      <c r="J348" s="518"/>
      <c r="K348" s="548"/>
      <c r="L348" s="493">
        <v>0</v>
      </c>
      <c r="M348" s="549"/>
      <c r="N348" s="53"/>
      <c r="O348" s="518"/>
      <c r="P348" s="548"/>
      <c r="Q348" s="493">
        <v>0</v>
      </c>
      <c r="R348" s="549"/>
      <c r="S348" s="53"/>
      <c r="T348" s="518"/>
      <c r="U348" s="548"/>
      <c r="V348" s="493">
        <v>0</v>
      </c>
      <c r="W348" s="549"/>
      <c r="X348" s="53"/>
      <c r="Y348" s="518"/>
      <c r="Z348" s="548"/>
      <c r="AA348" s="493">
        <v>0</v>
      </c>
      <c r="AB348" s="549"/>
      <c r="AC348" s="53"/>
      <c r="AD348" s="518"/>
      <c r="AE348" s="548"/>
      <c r="AF348" s="493">
        <v>0</v>
      </c>
      <c r="AG348" s="549"/>
      <c r="AH348" s="53"/>
      <c r="AI348" s="518"/>
      <c r="AJ348" s="548"/>
      <c r="AK348" s="493">
        <v>0</v>
      </c>
      <c r="AL348" s="549"/>
      <c r="AM348" s="53"/>
      <c r="AN348" s="518"/>
      <c r="AO348" s="548"/>
      <c r="AP348" s="493">
        <v>0</v>
      </c>
      <c r="AQ348" s="549"/>
      <c r="AR348" s="53"/>
      <c r="AS348" s="518"/>
      <c r="AT348" s="548"/>
      <c r="AU348" s="493">
        <v>0</v>
      </c>
      <c r="AV348" s="549"/>
      <c r="AW348" s="53"/>
      <c r="AX348" s="518"/>
      <c r="AY348" s="548"/>
      <c r="AZ348" s="493">
        <v>0</v>
      </c>
      <c r="BA348" s="549"/>
      <c r="BB348" s="53"/>
      <c r="BC348" s="518"/>
      <c r="BD348" s="548"/>
      <c r="BE348" s="493">
        <v>0</v>
      </c>
      <c r="BF348" s="549"/>
      <c r="BG348" s="53"/>
      <c r="BH348" s="518"/>
      <c r="BI348" s="548"/>
      <c r="BJ348" s="493">
        <v>0</v>
      </c>
      <c r="BK348" s="549"/>
      <c r="BL348" s="53"/>
      <c r="BM348" s="518"/>
      <c r="BN348" s="548"/>
      <c r="BO348" s="493">
        <v>0</v>
      </c>
      <c r="BP348" s="549"/>
      <c r="BQ348" s="53"/>
      <c r="BR348" s="518"/>
      <c r="BS348" s="548"/>
      <c r="BT348" s="493">
        <f>SUM(L348:BO348)</f>
        <v>0</v>
      </c>
      <c r="BU348" s="549"/>
      <c r="BV348" s="53"/>
      <c r="BW348" s="465"/>
      <c r="BZ348" s="410"/>
      <c r="CA348" s="410"/>
    </row>
    <row r="349" spans="1:79" x14ac:dyDescent="0.2">
      <c r="A349" s="377"/>
      <c r="B349" s="377"/>
      <c r="D349" s="567"/>
      <c r="E349" s="535"/>
      <c r="F349" s="448"/>
      <c r="G349" s="111"/>
      <c r="H349" s="111"/>
      <c r="I349" s="111"/>
      <c r="J349" s="536"/>
      <c r="K349" s="111"/>
      <c r="L349" s="111"/>
      <c r="M349" s="111"/>
      <c r="N349" s="111"/>
      <c r="O349" s="536"/>
      <c r="P349" s="111"/>
      <c r="Q349" s="111"/>
      <c r="R349" s="111"/>
      <c r="S349" s="111"/>
      <c r="T349" s="536"/>
      <c r="U349" s="111"/>
      <c r="V349" s="111"/>
      <c r="W349" s="111"/>
      <c r="X349" s="111"/>
      <c r="Y349" s="536"/>
      <c r="Z349" s="111"/>
      <c r="AA349" s="111"/>
      <c r="AB349" s="111"/>
      <c r="AC349" s="111"/>
      <c r="AD349" s="536"/>
      <c r="AE349" s="111"/>
      <c r="AF349" s="111"/>
      <c r="AG349" s="111"/>
      <c r="AH349" s="111"/>
      <c r="AI349" s="536"/>
      <c r="AJ349" s="111"/>
      <c r="AK349" s="111"/>
      <c r="AL349" s="111"/>
      <c r="AM349" s="111"/>
      <c r="AN349" s="536"/>
      <c r="AO349" s="111"/>
      <c r="AP349" s="111"/>
      <c r="AQ349" s="111"/>
      <c r="AR349" s="111"/>
      <c r="AS349" s="536"/>
      <c r="AT349" s="111"/>
      <c r="AU349" s="111"/>
      <c r="AV349" s="111"/>
      <c r="AW349" s="111"/>
      <c r="AX349" s="536"/>
      <c r="AY349" s="111"/>
      <c r="AZ349" s="111"/>
      <c r="BA349" s="111"/>
      <c r="BB349" s="111"/>
      <c r="BC349" s="536"/>
      <c r="BD349" s="111"/>
      <c r="BE349" s="111"/>
      <c r="BF349" s="111"/>
      <c r="BG349" s="111"/>
      <c r="BH349" s="536"/>
      <c r="BI349" s="111"/>
      <c r="BJ349" s="111"/>
      <c r="BK349" s="111"/>
      <c r="BL349" s="111"/>
      <c r="BM349" s="536"/>
      <c r="BN349" s="111"/>
      <c r="BO349" s="111"/>
      <c r="BP349" s="111"/>
      <c r="BQ349" s="111"/>
      <c r="BR349" s="536"/>
      <c r="BS349" s="111"/>
      <c r="BT349" s="111"/>
      <c r="BU349" s="111"/>
      <c r="BV349" s="111"/>
      <c r="BW349" s="465"/>
      <c r="BZ349" s="410"/>
      <c r="CA349" s="410"/>
    </row>
    <row r="350" spans="1:79" x14ac:dyDescent="0.2">
      <c r="A350" s="377"/>
      <c r="B350" s="377"/>
      <c r="C350" s="377"/>
      <c r="E350" s="504"/>
      <c r="F350" s="377"/>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377"/>
    </row>
    <row r="351" spans="1:79" x14ac:dyDescent="0.2">
      <c r="D351" s="377"/>
      <c r="E351" s="377"/>
    </row>
    <row r="352" spans="1:79" x14ac:dyDescent="0.2">
      <c r="D352" s="377"/>
      <c r="E352" s="377"/>
    </row>
    <row r="353" spans="4:5" x14ac:dyDescent="0.2">
      <c r="D353" s="377"/>
      <c r="E353" s="377"/>
    </row>
    <row r="354" spans="4:5" x14ac:dyDescent="0.2">
      <c r="D354" s="377"/>
      <c r="E354" s="377"/>
    </row>
    <row r="355" spans="4:5" x14ac:dyDescent="0.2">
      <c r="D355" s="377"/>
      <c r="E355" s="377"/>
    </row>
    <row r="356" spans="4:5" x14ac:dyDescent="0.2">
      <c r="D356" s="377"/>
      <c r="E356" s="377"/>
    </row>
    <row r="357" spans="4:5" x14ac:dyDescent="0.2">
      <c r="D357" s="377"/>
      <c r="E357" s="377"/>
    </row>
    <row r="358" spans="4:5" x14ac:dyDescent="0.2">
      <c r="E358" s="38"/>
    </row>
  </sheetData>
  <mergeCells count="2">
    <mergeCell ref="G8:BT8"/>
    <mergeCell ref="G188:BT188"/>
  </mergeCells>
  <pageMargins left="0.7" right="0.7" top="0.75" bottom="0.75" header="0.3" footer="0.3"/>
  <pageSetup scale="45" fitToWidth="2" fitToHeight="2" orientation="portrait" r:id="rId1"/>
  <rowBreaks count="1" manualBreakCount="1">
    <brk id="186" min="1" max="7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60"/>
  <sheetViews>
    <sheetView view="pageBreakPreview" zoomScaleNormal="100" zoomScaleSheetLayoutView="100" workbookViewId="0">
      <selection activeCell="CD35" sqref="CD35"/>
    </sheetView>
  </sheetViews>
  <sheetFormatPr defaultColWidth="10" defaultRowHeight="12.75" x14ac:dyDescent="0.2"/>
  <cols>
    <col min="1" max="1" width="1.85546875" style="38" customWidth="1"/>
    <col min="2" max="3" width="1" style="38" customWidth="1"/>
    <col min="4" max="4" width="34" style="38" customWidth="1"/>
    <col min="5" max="6" width="1" style="38" customWidth="1"/>
    <col min="7" max="7" width="17.85546875" style="38" customWidth="1"/>
    <col min="8" max="11" width="1" style="38" customWidth="1"/>
    <col min="12" max="12" width="17.85546875" style="38" customWidth="1"/>
    <col min="13" max="16" width="1" style="38" customWidth="1"/>
    <col min="17" max="17" width="17.85546875" style="38" customWidth="1"/>
    <col min="18" max="21" width="1" style="38" customWidth="1"/>
    <col min="22" max="22" width="17.85546875" style="38" customWidth="1"/>
    <col min="23" max="26" width="1" style="38" customWidth="1"/>
    <col min="27" max="27" width="17.85546875" style="38" customWidth="1"/>
    <col min="28" max="31" width="1" style="38" customWidth="1"/>
    <col min="32" max="32" width="17.85546875" style="38" customWidth="1"/>
    <col min="33" max="36" width="1" style="38" customWidth="1"/>
    <col min="37" max="37" width="17.85546875" style="38" customWidth="1"/>
    <col min="38" max="39" width="1" style="38" customWidth="1"/>
    <col min="40" max="41" width="1" style="38" hidden="1" customWidth="1"/>
    <col min="42" max="42" width="17.85546875" style="38" hidden="1" customWidth="1"/>
    <col min="43" max="46" width="1" style="38" hidden="1" customWidth="1"/>
    <col min="47" max="47" width="17.85546875" style="38" hidden="1" customWidth="1"/>
    <col min="48" max="51" width="1" style="38" hidden="1" customWidth="1"/>
    <col min="52" max="52" width="17.85546875" style="38" hidden="1" customWidth="1"/>
    <col min="53" max="56" width="1" style="38" hidden="1" customWidth="1"/>
    <col min="57" max="57" width="17.85546875" style="38" hidden="1" customWidth="1"/>
    <col min="58" max="61" width="1" style="38" hidden="1" customWidth="1"/>
    <col min="62" max="62" width="17.85546875" style="38" hidden="1" customWidth="1"/>
    <col min="63" max="66" width="1" style="38" hidden="1" customWidth="1"/>
    <col min="67" max="67" width="17.85546875" style="38" hidden="1" customWidth="1"/>
    <col min="68" max="69" width="1" style="38" hidden="1" customWidth="1"/>
    <col min="70" max="71" width="1" style="38" customWidth="1"/>
    <col min="72" max="72" width="17.85546875" style="38" customWidth="1"/>
    <col min="73" max="74" width="1" style="38" customWidth="1"/>
    <col min="75" max="75" width="6.42578125" style="38" customWidth="1"/>
    <col min="76" max="76" width="17.42578125" style="38" customWidth="1"/>
    <col min="77" max="77" width="12.28515625" style="38" customWidth="1"/>
    <col min="78" max="186" width="10" style="38"/>
    <col min="187" max="187" width="1.85546875" style="38" customWidth="1"/>
    <col min="188" max="189" width="1" style="38" customWidth="1"/>
    <col min="190" max="190" width="34" style="38" customWidth="1"/>
    <col min="191" max="192" width="1" style="38" customWidth="1"/>
    <col min="193" max="193" width="17.85546875" style="38" customWidth="1"/>
    <col min="194" max="195" width="1" style="38" customWidth="1"/>
    <col min="196" max="220" width="0" style="38" hidden="1" customWidth="1"/>
    <col min="221" max="222" width="1" style="38" customWidth="1"/>
    <col min="223" max="223" width="17.85546875" style="38" customWidth="1"/>
    <col min="224" max="225" width="1" style="38" customWidth="1"/>
    <col min="226" max="255" width="0" style="38" hidden="1" customWidth="1"/>
    <col min="256" max="257" width="1" style="38" customWidth="1"/>
    <col min="258" max="258" width="17.85546875" style="38" customWidth="1"/>
    <col min="259" max="262" width="1" style="38" customWidth="1"/>
    <col min="263" max="263" width="17.85546875" style="38" customWidth="1"/>
    <col min="264" max="265" width="1" style="38" customWidth="1"/>
    <col min="266" max="290" width="0" style="38" hidden="1" customWidth="1"/>
    <col min="291" max="292" width="1" style="38" customWidth="1"/>
    <col min="293" max="293" width="17.85546875" style="38" customWidth="1"/>
    <col min="294" max="295" width="1" style="38" customWidth="1"/>
    <col min="296" max="325" width="0" style="38" hidden="1" customWidth="1"/>
    <col min="326" max="327" width="1" style="38" customWidth="1"/>
    <col min="328" max="328" width="17.85546875" style="38" customWidth="1"/>
    <col min="329" max="329" width="1" style="38" customWidth="1"/>
    <col min="330" max="330" width="2" style="38" customWidth="1"/>
    <col min="331" max="331" width="6.42578125" style="38" customWidth="1"/>
    <col min="332" max="332" width="17.42578125" style="38" customWidth="1"/>
    <col min="333" max="333" width="12.28515625" style="38" customWidth="1"/>
    <col min="334" max="442" width="10" style="38"/>
    <col min="443" max="443" width="1.85546875" style="38" customWidth="1"/>
    <col min="444" max="445" width="1" style="38" customWidth="1"/>
    <col min="446" max="446" width="34" style="38" customWidth="1"/>
    <col min="447" max="448" width="1" style="38" customWidth="1"/>
    <col min="449" max="449" width="17.85546875" style="38" customWidth="1"/>
    <col min="450" max="451" width="1" style="38" customWidth="1"/>
    <col min="452" max="476" width="0" style="38" hidden="1" customWidth="1"/>
    <col min="477" max="478" width="1" style="38" customWidth="1"/>
    <col min="479" max="479" width="17.85546875" style="38" customWidth="1"/>
    <col min="480" max="481" width="1" style="38" customWidth="1"/>
    <col min="482" max="511" width="0" style="38" hidden="1" customWidth="1"/>
    <col min="512" max="513" width="1" style="38" customWidth="1"/>
    <col min="514" max="514" width="17.85546875" style="38" customWidth="1"/>
    <col min="515" max="518" width="1" style="38" customWidth="1"/>
    <col min="519" max="519" width="17.85546875" style="38" customWidth="1"/>
    <col min="520" max="521" width="1" style="38" customWidth="1"/>
    <col min="522" max="546" width="0" style="38" hidden="1" customWidth="1"/>
    <col min="547" max="548" width="1" style="38" customWidth="1"/>
    <col min="549" max="549" width="17.85546875" style="38" customWidth="1"/>
    <col min="550" max="551" width="1" style="38" customWidth="1"/>
    <col min="552" max="581" width="0" style="38" hidden="1" customWidth="1"/>
    <col min="582" max="583" width="1" style="38" customWidth="1"/>
    <col min="584" max="584" width="17.85546875" style="38" customWidth="1"/>
    <col min="585" max="585" width="1" style="38" customWidth="1"/>
    <col min="586" max="586" width="2" style="38" customWidth="1"/>
    <col min="587" max="587" width="6.42578125" style="38" customWidth="1"/>
    <col min="588" max="588" width="17.42578125" style="38" customWidth="1"/>
    <col min="589" max="589" width="12.28515625" style="38" customWidth="1"/>
    <col min="590" max="698" width="10" style="38"/>
    <col min="699" max="699" width="1.85546875" style="38" customWidth="1"/>
    <col min="700" max="701" width="1" style="38" customWidth="1"/>
    <col min="702" max="702" width="34" style="38" customWidth="1"/>
    <col min="703" max="704" width="1" style="38" customWidth="1"/>
    <col min="705" max="705" width="17.85546875" style="38" customWidth="1"/>
    <col min="706" max="707" width="1" style="38" customWidth="1"/>
    <col min="708" max="732" width="0" style="38" hidden="1" customWidth="1"/>
    <col min="733" max="734" width="1" style="38" customWidth="1"/>
    <col min="735" max="735" width="17.85546875" style="38" customWidth="1"/>
    <col min="736" max="737" width="1" style="38" customWidth="1"/>
    <col min="738" max="767" width="0" style="38" hidden="1" customWidth="1"/>
    <col min="768" max="769" width="1" style="38" customWidth="1"/>
    <col min="770" max="770" width="17.85546875" style="38" customWidth="1"/>
    <col min="771" max="774" width="1" style="38" customWidth="1"/>
    <col min="775" max="775" width="17.85546875" style="38" customWidth="1"/>
    <col min="776" max="777" width="1" style="38" customWidth="1"/>
    <col min="778" max="802" width="0" style="38" hidden="1" customWidth="1"/>
    <col min="803" max="804" width="1" style="38" customWidth="1"/>
    <col min="805" max="805" width="17.85546875" style="38" customWidth="1"/>
    <col min="806" max="807" width="1" style="38" customWidth="1"/>
    <col min="808" max="837" width="0" style="38" hidden="1" customWidth="1"/>
    <col min="838" max="839" width="1" style="38" customWidth="1"/>
    <col min="840" max="840" width="17.85546875" style="38" customWidth="1"/>
    <col min="841" max="841" width="1" style="38" customWidth="1"/>
    <col min="842" max="842" width="2" style="38" customWidth="1"/>
    <col min="843" max="843" width="6.42578125" style="38" customWidth="1"/>
    <col min="844" max="844" width="17.42578125" style="38" customWidth="1"/>
    <col min="845" max="845" width="12.28515625" style="38" customWidth="1"/>
    <col min="846" max="954" width="10" style="38"/>
    <col min="955" max="955" width="1.85546875" style="38" customWidth="1"/>
    <col min="956" max="957" width="1" style="38" customWidth="1"/>
    <col min="958" max="958" width="34" style="38" customWidth="1"/>
    <col min="959" max="960" width="1" style="38" customWidth="1"/>
    <col min="961" max="961" width="17.85546875" style="38" customWidth="1"/>
    <col min="962" max="963" width="1" style="38" customWidth="1"/>
    <col min="964" max="988" width="0" style="38" hidden="1" customWidth="1"/>
    <col min="989" max="990" width="1" style="38" customWidth="1"/>
    <col min="991" max="991" width="17.85546875" style="38" customWidth="1"/>
    <col min="992" max="993" width="1" style="38" customWidth="1"/>
    <col min="994" max="1023" width="0" style="38" hidden="1" customWidth="1"/>
    <col min="1024" max="1025" width="1" style="38" customWidth="1"/>
    <col min="1026" max="1026" width="17.85546875" style="38" customWidth="1"/>
    <col min="1027" max="1030" width="1" style="38" customWidth="1"/>
    <col min="1031" max="1031" width="17.85546875" style="38" customWidth="1"/>
    <col min="1032" max="1033" width="1" style="38" customWidth="1"/>
    <col min="1034" max="1058" width="0" style="38" hidden="1" customWidth="1"/>
    <col min="1059" max="1060" width="1" style="38" customWidth="1"/>
    <col min="1061" max="1061" width="17.85546875" style="38" customWidth="1"/>
    <col min="1062" max="1063" width="1" style="38" customWidth="1"/>
    <col min="1064" max="1093" width="0" style="38" hidden="1" customWidth="1"/>
    <col min="1094" max="1095" width="1" style="38" customWidth="1"/>
    <col min="1096" max="1096" width="17.85546875" style="38" customWidth="1"/>
    <col min="1097" max="1097" width="1" style="38" customWidth="1"/>
    <col min="1098" max="1098" width="2" style="38" customWidth="1"/>
    <col min="1099" max="1099" width="6.42578125" style="38" customWidth="1"/>
    <col min="1100" max="1100" width="17.42578125" style="38" customWidth="1"/>
    <col min="1101" max="1101" width="12.28515625" style="38" customWidth="1"/>
    <col min="1102" max="1210" width="10" style="38"/>
    <col min="1211" max="1211" width="1.85546875" style="38" customWidth="1"/>
    <col min="1212" max="1213" width="1" style="38" customWidth="1"/>
    <col min="1214" max="1214" width="34" style="38" customWidth="1"/>
    <col min="1215" max="1216" width="1" style="38" customWidth="1"/>
    <col min="1217" max="1217" width="17.85546875" style="38" customWidth="1"/>
    <col min="1218" max="1219" width="1" style="38" customWidth="1"/>
    <col min="1220" max="1244" width="0" style="38" hidden="1" customWidth="1"/>
    <col min="1245" max="1246" width="1" style="38" customWidth="1"/>
    <col min="1247" max="1247" width="17.85546875" style="38" customWidth="1"/>
    <col min="1248" max="1249" width="1" style="38" customWidth="1"/>
    <col min="1250" max="1279" width="0" style="38" hidden="1" customWidth="1"/>
    <col min="1280" max="1281" width="1" style="38" customWidth="1"/>
    <col min="1282" max="1282" width="17.85546875" style="38" customWidth="1"/>
    <col min="1283" max="1286" width="1" style="38" customWidth="1"/>
    <col min="1287" max="1287" width="17.85546875" style="38" customWidth="1"/>
    <col min="1288" max="1289" width="1" style="38" customWidth="1"/>
    <col min="1290" max="1314" width="0" style="38" hidden="1" customWidth="1"/>
    <col min="1315" max="1316" width="1" style="38" customWidth="1"/>
    <col min="1317" max="1317" width="17.85546875" style="38" customWidth="1"/>
    <col min="1318" max="1319" width="1" style="38" customWidth="1"/>
    <col min="1320" max="1349" width="0" style="38" hidden="1" customWidth="1"/>
    <col min="1350" max="1351" width="1" style="38" customWidth="1"/>
    <col min="1352" max="1352" width="17.85546875" style="38" customWidth="1"/>
    <col min="1353" max="1353" width="1" style="38" customWidth="1"/>
    <col min="1354" max="1354" width="2" style="38" customWidth="1"/>
    <col min="1355" max="1355" width="6.42578125" style="38" customWidth="1"/>
    <col min="1356" max="1356" width="17.42578125" style="38" customWidth="1"/>
    <col min="1357" max="1357" width="12.28515625" style="38" customWidth="1"/>
    <col min="1358" max="1466" width="10" style="38"/>
    <col min="1467" max="1467" width="1.85546875" style="38" customWidth="1"/>
    <col min="1468" max="1469" width="1" style="38" customWidth="1"/>
    <col min="1470" max="1470" width="34" style="38" customWidth="1"/>
    <col min="1471" max="1472" width="1" style="38" customWidth="1"/>
    <col min="1473" max="1473" width="17.85546875" style="38" customWidth="1"/>
    <col min="1474" max="1475" width="1" style="38" customWidth="1"/>
    <col min="1476" max="1500" width="0" style="38" hidden="1" customWidth="1"/>
    <col min="1501" max="1502" width="1" style="38" customWidth="1"/>
    <col min="1503" max="1503" width="17.85546875" style="38" customWidth="1"/>
    <col min="1504" max="1505" width="1" style="38" customWidth="1"/>
    <col min="1506" max="1535" width="0" style="38" hidden="1" customWidth="1"/>
    <col min="1536" max="1537" width="1" style="38" customWidth="1"/>
    <col min="1538" max="1538" width="17.85546875" style="38" customWidth="1"/>
    <col min="1539" max="1542" width="1" style="38" customWidth="1"/>
    <col min="1543" max="1543" width="17.85546875" style="38" customWidth="1"/>
    <col min="1544" max="1545" width="1" style="38" customWidth="1"/>
    <col min="1546" max="1570" width="0" style="38" hidden="1" customWidth="1"/>
    <col min="1571" max="1572" width="1" style="38" customWidth="1"/>
    <col min="1573" max="1573" width="17.85546875" style="38" customWidth="1"/>
    <col min="1574" max="1575" width="1" style="38" customWidth="1"/>
    <col min="1576" max="1605" width="0" style="38" hidden="1" customWidth="1"/>
    <col min="1606" max="1607" width="1" style="38" customWidth="1"/>
    <col min="1608" max="1608" width="17.85546875" style="38" customWidth="1"/>
    <col min="1609" max="1609" width="1" style="38" customWidth="1"/>
    <col min="1610" max="1610" width="2" style="38" customWidth="1"/>
    <col min="1611" max="1611" width="6.42578125" style="38" customWidth="1"/>
    <col min="1612" max="1612" width="17.42578125" style="38" customWidth="1"/>
    <col min="1613" max="1613" width="12.28515625" style="38" customWidth="1"/>
    <col min="1614" max="1722" width="10" style="38"/>
    <col min="1723" max="1723" width="1.85546875" style="38" customWidth="1"/>
    <col min="1724" max="1725" width="1" style="38" customWidth="1"/>
    <col min="1726" max="1726" width="34" style="38" customWidth="1"/>
    <col min="1727" max="1728" width="1" style="38" customWidth="1"/>
    <col min="1729" max="1729" width="17.85546875" style="38" customWidth="1"/>
    <col min="1730" max="1731" width="1" style="38" customWidth="1"/>
    <col min="1732" max="1756" width="0" style="38" hidden="1" customWidth="1"/>
    <col min="1757" max="1758" width="1" style="38" customWidth="1"/>
    <col min="1759" max="1759" width="17.85546875" style="38" customWidth="1"/>
    <col min="1760" max="1761" width="1" style="38" customWidth="1"/>
    <col min="1762" max="1791" width="0" style="38" hidden="1" customWidth="1"/>
    <col min="1792" max="1793" width="1" style="38" customWidth="1"/>
    <col min="1794" max="1794" width="17.85546875" style="38" customWidth="1"/>
    <col min="1795" max="1798" width="1" style="38" customWidth="1"/>
    <col min="1799" max="1799" width="17.85546875" style="38" customWidth="1"/>
    <col min="1800" max="1801" width="1" style="38" customWidth="1"/>
    <col min="1802" max="1826" width="0" style="38" hidden="1" customWidth="1"/>
    <col min="1827" max="1828" width="1" style="38" customWidth="1"/>
    <col min="1829" max="1829" width="17.85546875" style="38" customWidth="1"/>
    <col min="1830" max="1831" width="1" style="38" customWidth="1"/>
    <col min="1832" max="1861" width="0" style="38" hidden="1" customWidth="1"/>
    <col min="1862" max="1863" width="1" style="38" customWidth="1"/>
    <col min="1864" max="1864" width="17.85546875" style="38" customWidth="1"/>
    <col min="1865" max="1865" width="1" style="38" customWidth="1"/>
    <col min="1866" max="1866" width="2" style="38" customWidth="1"/>
    <col min="1867" max="1867" width="6.42578125" style="38" customWidth="1"/>
    <col min="1868" max="1868" width="17.42578125" style="38" customWidth="1"/>
    <col min="1869" max="1869" width="12.28515625" style="38" customWidth="1"/>
    <col min="1870" max="1978" width="10" style="38"/>
    <col min="1979" max="1979" width="1.85546875" style="38" customWidth="1"/>
    <col min="1980" max="1981" width="1" style="38" customWidth="1"/>
    <col min="1982" max="1982" width="34" style="38" customWidth="1"/>
    <col min="1983" max="1984" width="1" style="38" customWidth="1"/>
    <col min="1985" max="1985" width="17.85546875" style="38" customWidth="1"/>
    <col min="1986" max="1987" width="1" style="38" customWidth="1"/>
    <col min="1988" max="2012" width="0" style="38" hidden="1" customWidth="1"/>
    <col min="2013" max="2014" width="1" style="38" customWidth="1"/>
    <col min="2015" max="2015" width="17.85546875" style="38" customWidth="1"/>
    <col min="2016" max="2017" width="1" style="38" customWidth="1"/>
    <col min="2018" max="2047" width="0" style="38" hidden="1" customWidth="1"/>
    <col min="2048" max="2049" width="1" style="38" customWidth="1"/>
    <col min="2050" max="2050" width="17.85546875" style="38" customWidth="1"/>
    <col min="2051" max="2054" width="1" style="38" customWidth="1"/>
    <col min="2055" max="2055" width="17.85546875" style="38" customWidth="1"/>
    <col min="2056" max="2057" width="1" style="38" customWidth="1"/>
    <col min="2058" max="2082" width="0" style="38" hidden="1" customWidth="1"/>
    <col min="2083" max="2084" width="1" style="38" customWidth="1"/>
    <col min="2085" max="2085" width="17.85546875" style="38" customWidth="1"/>
    <col min="2086" max="2087" width="1" style="38" customWidth="1"/>
    <col min="2088" max="2117" width="0" style="38" hidden="1" customWidth="1"/>
    <col min="2118" max="2119" width="1" style="38" customWidth="1"/>
    <col min="2120" max="2120" width="17.85546875" style="38" customWidth="1"/>
    <col min="2121" max="2121" width="1" style="38" customWidth="1"/>
    <col min="2122" max="2122" width="2" style="38" customWidth="1"/>
    <col min="2123" max="2123" width="6.42578125" style="38" customWidth="1"/>
    <col min="2124" max="2124" width="17.42578125" style="38" customWidth="1"/>
    <col min="2125" max="2125" width="12.28515625" style="38" customWidth="1"/>
    <col min="2126" max="2234" width="10" style="38"/>
    <col min="2235" max="2235" width="1.85546875" style="38" customWidth="1"/>
    <col min="2236" max="2237" width="1" style="38" customWidth="1"/>
    <col min="2238" max="2238" width="34" style="38" customWidth="1"/>
    <col min="2239" max="2240" width="1" style="38" customWidth="1"/>
    <col min="2241" max="2241" width="17.85546875" style="38" customWidth="1"/>
    <col min="2242" max="2243" width="1" style="38" customWidth="1"/>
    <col min="2244" max="2268" width="0" style="38" hidden="1" customWidth="1"/>
    <col min="2269" max="2270" width="1" style="38" customWidth="1"/>
    <col min="2271" max="2271" width="17.85546875" style="38" customWidth="1"/>
    <col min="2272" max="2273" width="1" style="38" customWidth="1"/>
    <col min="2274" max="2303" width="0" style="38" hidden="1" customWidth="1"/>
    <col min="2304" max="2305" width="1" style="38" customWidth="1"/>
    <col min="2306" max="2306" width="17.85546875" style="38" customWidth="1"/>
    <col min="2307" max="2310" width="1" style="38" customWidth="1"/>
    <col min="2311" max="2311" width="17.85546875" style="38" customWidth="1"/>
    <col min="2312" max="2313" width="1" style="38" customWidth="1"/>
    <col min="2314" max="2338" width="0" style="38" hidden="1" customWidth="1"/>
    <col min="2339" max="2340" width="1" style="38" customWidth="1"/>
    <col min="2341" max="2341" width="17.85546875" style="38" customWidth="1"/>
    <col min="2342" max="2343" width="1" style="38" customWidth="1"/>
    <col min="2344" max="2373" width="0" style="38" hidden="1" customWidth="1"/>
    <col min="2374" max="2375" width="1" style="38" customWidth="1"/>
    <col min="2376" max="2376" width="17.85546875" style="38" customWidth="1"/>
    <col min="2377" max="2377" width="1" style="38" customWidth="1"/>
    <col min="2378" max="2378" width="2" style="38" customWidth="1"/>
    <col min="2379" max="2379" width="6.42578125" style="38" customWidth="1"/>
    <col min="2380" max="2380" width="17.42578125" style="38" customWidth="1"/>
    <col min="2381" max="2381" width="12.28515625" style="38" customWidth="1"/>
    <col min="2382" max="2490" width="10" style="38"/>
    <col min="2491" max="2491" width="1.85546875" style="38" customWidth="1"/>
    <col min="2492" max="2493" width="1" style="38" customWidth="1"/>
    <col min="2494" max="2494" width="34" style="38" customWidth="1"/>
    <col min="2495" max="2496" width="1" style="38" customWidth="1"/>
    <col min="2497" max="2497" width="17.85546875" style="38" customWidth="1"/>
    <col min="2498" max="2499" width="1" style="38" customWidth="1"/>
    <col min="2500" max="2524" width="0" style="38" hidden="1" customWidth="1"/>
    <col min="2525" max="2526" width="1" style="38" customWidth="1"/>
    <col min="2527" max="2527" width="17.85546875" style="38" customWidth="1"/>
    <col min="2528" max="2529" width="1" style="38" customWidth="1"/>
    <col min="2530" max="2559" width="0" style="38" hidden="1" customWidth="1"/>
    <col min="2560" max="2561" width="1" style="38" customWidth="1"/>
    <col min="2562" max="2562" width="17.85546875" style="38" customWidth="1"/>
    <col min="2563" max="2566" width="1" style="38" customWidth="1"/>
    <col min="2567" max="2567" width="17.85546875" style="38" customWidth="1"/>
    <col min="2568" max="2569" width="1" style="38" customWidth="1"/>
    <col min="2570" max="2594" width="0" style="38" hidden="1" customWidth="1"/>
    <col min="2595" max="2596" width="1" style="38" customWidth="1"/>
    <col min="2597" max="2597" width="17.85546875" style="38" customWidth="1"/>
    <col min="2598" max="2599" width="1" style="38" customWidth="1"/>
    <col min="2600" max="2629" width="0" style="38" hidden="1" customWidth="1"/>
    <col min="2630" max="2631" width="1" style="38" customWidth="1"/>
    <col min="2632" max="2632" width="17.85546875" style="38" customWidth="1"/>
    <col min="2633" max="2633" width="1" style="38" customWidth="1"/>
    <col min="2634" max="2634" width="2" style="38" customWidth="1"/>
    <col min="2635" max="2635" width="6.42578125" style="38" customWidth="1"/>
    <col min="2636" max="2636" width="17.42578125" style="38" customWidth="1"/>
    <col min="2637" max="2637" width="12.28515625" style="38" customWidth="1"/>
    <col min="2638" max="2746" width="10" style="38"/>
    <col min="2747" max="2747" width="1.85546875" style="38" customWidth="1"/>
    <col min="2748" max="2749" width="1" style="38" customWidth="1"/>
    <col min="2750" max="2750" width="34" style="38" customWidth="1"/>
    <col min="2751" max="2752" width="1" style="38" customWidth="1"/>
    <col min="2753" max="2753" width="17.85546875" style="38" customWidth="1"/>
    <col min="2754" max="2755" width="1" style="38" customWidth="1"/>
    <col min="2756" max="2780" width="0" style="38" hidden="1" customWidth="1"/>
    <col min="2781" max="2782" width="1" style="38" customWidth="1"/>
    <col min="2783" max="2783" width="17.85546875" style="38" customWidth="1"/>
    <col min="2784" max="2785" width="1" style="38" customWidth="1"/>
    <col min="2786" max="2815" width="0" style="38" hidden="1" customWidth="1"/>
    <col min="2816" max="2817" width="1" style="38" customWidth="1"/>
    <col min="2818" max="2818" width="17.85546875" style="38" customWidth="1"/>
    <col min="2819" max="2822" width="1" style="38" customWidth="1"/>
    <col min="2823" max="2823" width="17.85546875" style="38" customWidth="1"/>
    <col min="2824" max="2825" width="1" style="38" customWidth="1"/>
    <col min="2826" max="2850" width="0" style="38" hidden="1" customWidth="1"/>
    <col min="2851" max="2852" width="1" style="38" customWidth="1"/>
    <col min="2853" max="2853" width="17.85546875" style="38" customWidth="1"/>
    <col min="2854" max="2855" width="1" style="38" customWidth="1"/>
    <col min="2856" max="2885" width="0" style="38" hidden="1" customWidth="1"/>
    <col min="2886" max="2887" width="1" style="38" customWidth="1"/>
    <col min="2888" max="2888" width="17.85546875" style="38" customWidth="1"/>
    <col min="2889" max="2889" width="1" style="38" customWidth="1"/>
    <col min="2890" max="2890" width="2" style="38" customWidth="1"/>
    <col min="2891" max="2891" width="6.42578125" style="38" customWidth="1"/>
    <col min="2892" max="2892" width="17.42578125" style="38" customWidth="1"/>
    <col min="2893" max="2893" width="12.28515625" style="38" customWidth="1"/>
    <col min="2894" max="3002" width="10" style="38"/>
    <col min="3003" max="3003" width="1.85546875" style="38" customWidth="1"/>
    <col min="3004" max="3005" width="1" style="38" customWidth="1"/>
    <col min="3006" max="3006" width="34" style="38" customWidth="1"/>
    <col min="3007" max="3008" width="1" style="38" customWidth="1"/>
    <col min="3009" max="3009" width="17.85546875" style="38" customWidth="1"/>
    <col min="3010" max="3011" width="1" style="38" customWidth="1"/>
    <col min="3012" max="3036" width="0" style="38" hidden="1" customWidth="1"/>
    <col min="3037" max="3038" width="1" style="38" customWidth="1"/>
    <col min="3039" max="3039" width="17.85546875" style="38" customWidth="1"/>
    <col min="3040" max="3041" width="1" style="38" customWidth="1"/>
    <col min="3042" max="3071" width="0" style="38" hidden="1" customWidth="1"/>
    <col min="3072" max="3073" width="1" style="38" customWidth="1"/>
    <col min="3074" max="3074" width="17.85546875" style="38" customWidth="1"/>
    <col min="3075" max="3078" width="1" style="38" customWidth="1"/>
    <col min="3079" max="3079" width="17.85546875" style="38" customWidth="1"/>
    <col min="3080" max="3081" width="1" style="38" customWidth="1"/>
    <col min="3082" max="3106" width="0" style="38" hidden="1" customWidth="1"/>
    <col min="3107" max="3108" width="1" style="38" customWidth="1"/>
    <col min="3109" max="3109" width="17.85546875" style="38" customWidth="1"/>
    <col min="3110" max="3111" width="1" style="38" customWidth="1"/>
    <col min="3112" max="3141" width="0" style="38" hidden="1" customWidth="1"/>
    <col min="3142" max="3143" width="1" style="38" customWidth="1"/>
    <col min="3144" max="3144" width="17.85546875" style="38" customWidth="1"/>
    <col min="3145" max="3145" width="1" style="38" customWidth="1"/>
    <col min="3146" max="3146" width="2" style="38" customWidth="1"/>
    <col min="3147" max="3147" width="6.42578125" style="38" customWidth="1"/>
    <col min="3148" max="3148" width="17.42578125" style="38" customWidth="1"/>
    <col min="3149" max="3149" width="12.28515625" style="38" customWidth="1"/>
    <col min="3150" max="3258" width="10" style="38"/>
    <col min="3259" max="3259" width="1.85546875" style="38" customWidth="1"/>
    <col min="3260" max="3261" width="1" style="38" customWidth="1"/>
    <col min="3262" max="3262" width="34" style="38" customWidth="1"/>
    <col min="3263" max="3264" width="1" style="38" customWidth="1"/>
    <col min="3265" max="3265" width="17.85546875" style="38" customWidth="1"/>
    <col min="3266" max="3267" width="1" style="38" customWidth="1"/>
    <col min="3268" max="3292" width="0" style="38" hidden="1" customWidth="1"/>
    <col min="3293" max="3294" width="1" style="38" customWidth="1"/>
    <col min="3295" max="3295" width="17.85546875" style="38" customWidth="1"/>
    <col min="3296" max="3297" width="1" style="38" customWidth="1"/>
    <col min="3298" max="3327" width="0" style="38" hidden="1" customWidth="1"/>
    <col min="3328" max="3329" width="1" style="38" customWidth="1"/>
    <col min="3330" max="3330" width="17.85546875" style="38" customWidth="1"/>
    <col min="3331" max="3334" width="1" style="38" customWidth="1"/>
    <col min="3335" max="3335" width="17.85546875" style="38" customWidth="1"/>
    <col min="3336" max="3337" width="1" style="38" customWidth="1"/>
    <col min="3338" max="3362" width="0" style="38" hidden="1" customWidth="1"/>
    <col min="3363" max="3364" width="1" style="38" customWidth="1"/>
    <col min="3365" max="3365" width="17.85546875" style="38" customWidth="1"/>
    <col min="3366" max="3367" width="1" style="38" customWidth="1"/>
    <col min="3368" max="3397" width="0" style="38" hidden="1" customWidth="1"/>
    <col min="3398" max="3399" width="1" style="38" customWidth="1"/>
    <col min="3400" max="3400" width="17.85546875" style="38" customWidth="1"/>
    <col min="3401" max="3401" width="1" style="38" customWidth="1"/>
    <col min="3402" max="3402" width="2" style="38" customWidth="1"/>
    <col min="3403" max="3403" width="6.42578125" style="38" customWidth="1"/>
    <col min="3404" max="3404" width="17.42578125" style="38" customWidth="1"/>
    <col min="3405" max="3405" width="12.28515625" style="38" customWidth="1"/>
    <col min="3406" max="3514" width="10" style="38"/>
    <col min="3515" max="3515" width="1.85546875" style="38" customWidth="1"/>
    <col min="3516" max="3517" width="1" style="38" customWidth="1"/>
    <col min="3518" max="3518" width="34" style="38" customWidth="1"/>
    <col min="3519" max="3520" width="1" style="38" customWidth="1"/>
    <col min="3521" max="3521" width="17.85546875" style="38" customWidth="1"/>
    <col min="3522" max="3523" width="1" style="38" customWidth="1"/>
    <col min="3524" max="3548" width="0" style="38" hidden="1" customWidth="1"/>
    <col min="3549" max="3550" width="1" style="38" customWidth="1"/>
    <col min="3551" max="3551" width="17.85546875" style="38" customWidth="1"/>
    <col min="3552" max="3553" width="1" style="38" customWidth="1"/>
    <col min="3554" max="3583" width="0" style="38" hidden="1" customWidth="1"/>
    <col min="3584" max="3585" width="1" style="38" customWidth="1"/>
    <col min="3586" max="3586" width="17.85546875" style="38" customWidth="1"/>
    <col min="3587" max="3590" width="1" style="38" customWidth="1"/>
    <col min="3591" max="3591" width="17.85546875" style="38" customWidth="1"/>
    <col min="3592" max="3593" width="1" style="38" customWidth="1"/>
    <col min="3594" max="3618" width="0" style="38" hidden="1" customWidth="1"/>
    <col min="3619" max="3620" width="1" style="38" customWidth="1"/>
    <col min="3621" max="3621" width="17.85546875" style="38" customWidth="1"/>
    <col min="3622" max="3623" width="1" style="38" customWidth="1"/>
    <col min="3624" max="3653" width="0" style="38" hidden="1" customWidth="1"/>
    <col min="3654" max="3655" width="1" style="38" customWidth="1"/>
    <col min="3656" max="3656" width="17.85546875" style="38" customWidth="1"/>
    <col min="3657" max="3657" width="1" style="38" customWidth="1"/>
    <col min="3658" max="3658" width="2" style="38" customWidth="1"/>
    <col min="3659" max="3659" width="6.42578125" style="38" customWidth="1"/>
    <col min="3660" max="3660" width="17.42578125" style="38" customWidth="1"/>
    <col min="3661" max="3661" width="12.28515625" style="38" customWidth="1"/>
    <col min="3662" max="3770" width="10" style="38"/>
    <col min="3771" max="3771" width="1.85546875" style="38" customWidth="1"/>
    <col min="3772" max="3773" width="1" style="38" customWidth="1"/>
    <col min="3774" max="3774" width="34" style="38" customWidth="1"/>
    <col min="3775" max="3776" width="1" style="38" customWidth="1"/>
    <col min="3777" max="3777" width="17.85546875" style="38" customWidth="1"/>
    <col min="3778" max="3779" width="1" style="38" customWidth="1"/>
    <col min="3780" max="3804" width="0" style="38" hidden="1" customWidth="1"/>
    <col min="3805" max="3806" width="1" style="38" customWidth="1"/>
    <col min="3807" max="3807" width="17.85546875" style="38" customWidth="1"/>
    <col min="3808" max="3809" width="1" style="38" customWidth="1"/>
    <col min="3810" max="3839" width="0" style="38" hidden="1" customWidth="1"/>
    <col min="3840" max="3841" width="1" style="38" customWidth="1"/>
    <col min="3842" max="3842" width="17.85546875" style="38" customWidth="1"/>
    <col min="3843" max="3846" width="1" style="38" customWidth="1"/>
    <col min="3847" max="3847" width="17.85546875" style="38" customWidth="1"/>
    <col min="3848" max="3849" width="1" style="38" customWidth="1"/>
    <col min="3850" max="3874" width="0" style="38" hidden="1" customWidth="1"/>
    <col min="3875" max="3876" width="1" style="38" customWidth="1"/>
    <col min="3877" max="3877" width="17.85546875" style="38" customWidth="1"/>
    <col min="3878" max="3879" width="1" style="38" customWidth="1"/>
    <col min="3880" max="3909" width="0" style="38" hidden="1" customWidth="1"/>
    <col min="3910" max="3911" width="1" style="38" customWidth="1"/>
    <col min="3912" max="3912" width="17.85546875" style="38" customWidth="1"/>
    <col min="3913" max="3913" width="1" style="38" customWidth="1"/>
    <col min="3914" max="3914" width="2" style="38" customWidth="1"/>
    <col min="3915" max="3915" width="6.42578125" style="38" customWidth="1"/>
    <col min="3916" max="3916" width="17.42578125" style="38" customWidth="1"/>
    <col min="3917" max="3917" width="12.28515625" style="38" customWidth="1"/>
    <col min="3918" max="4026" width="10" style="38"/>
    <col min="4027" max="4027" width="1.85546875" style="38" customWidth="1"/>
    <col min="4028" max="4029" width="1" style="38" customWidth="1"/>
    <col min="4030" max="4030" width="34" style="38" customWidth="1"/>
    <col min="4031" max="4032" width="1" style="38" customWidth="1"/>
    <col min="4033" max="4033" width="17.85546875" style="38" customWidth="1"/>
    <col min="4034" max="4035" width="1" style="38" customWidth="1"/>
    <col min="4036" max="4060" width="0" style="38" hidden="1" customWidth="1"/>
    <col min="4061" max="4062" width="1" style="38" customWidth="1"/>
    <col min="4063" max="4063" width="17.85546875" style="38" customWidth="1"/>
    <col min="4064" max="4065" width="1" style="38" customWidth="1"/>
    <col min="4066" max="4095" width="0" style="38" hidden="1" customWidth="1"/>
    <col min="4096" max="4097" width="1" style="38" customWidth="1"/>
    <col min="4098" max="4098" width="17.85546875" style="38" customWidth="1"/>
    <col min="4099" max="4102" width="1" style="38" customWidth="1"/>
    <col min="4103" max="4103" width="17.85546875" style="38" customWidth="1"/>
    <col min="4104" max="4105" width="1" style="38" customWidth="1"/>
    <col min="4106" max="4130" width="0" style="38" hidden="1" customWidth="1"/>
    <col min="4131" max="4132" width="1" style="38" customWidth="1"/>
    <col min="4133" max="4133" width="17.85546875" style="38" customWidth="1"/>
    <col min="4134" max="4135" width="1" style="38" customWidth="1"/>
    <col min="4136" max="4165" width="0" style="38" hidden="1" customWidth="1"/>
    <col min="4166" max="4167" width="1" style="38" customWidth="1"/>
    <col min="4168" max="4168" width="17.85546875" style="38" customWidth="1"/>
    <col min="4169" max="4169" width="1" style="38" customWidth="1"/>
    <col min="4170" max="4170" width="2" style="38" customWidth="1"/>
    <col min="4171" max="4171" width="6.42578125" style="38" customWidth="1"/>
    <col min="4172" max="4172" width="17.42578125" style="38" customWidth="1"/>
    <col min="4173" max="4173" width="12.28515625" style="38" customWidth="1"/>
    <col min="4174" max="4282" width="10" style="38"/>
    <col min="4283" max="4283" width="1.85546875" style="38" customWidth="1"/>
    <col min="4284" max="4285" width="1" style="38" customWidth="1"/>
    <col min="4286" max="4286" width="34" style="38" customWidth="1"/>
    <col min="4287" max="4288" width="1" style="38" customWidth="1"/>
    <col min="4289" max="4289" width="17.85546875" style="38" customWidth="1"/>
    <col min="4290" max="4291" width="1" style="38" customWidth="1"/>
    <col min="4292" max="4316" width="0" style="38" hidden="1" customWidth="1"/>
    <col min="4317" max="4318" width="1" style="38" customWidth="1"/>
    <col min="4319" max="4319" width="17.85546875" style="38" customWidth="1"/>
    <col min="4320" max="4321" width="1" style="38" customWidth="1"/>
    <col min="4322" max="4351" width="0" style="38" hidden="1" customWidth="1"/>
    <col min="4352" max="4353" width="1" style="38" customWidth="1"/>
    <col min="4354" max="4354" width="17.85546875" style="38" customWidth="1"/>
    <col min="4355" max="4358" width="1" style="38" customWidth="1"/>
    <col min="4359" max="4359" width="17.85546875" style="38" customWidth="1"/>
    <col min="4360" max="4361" width="1" style="38" customWidth="1"/>
    <col min="4362" max="4386" width="0" style="38" hidden="1" customWidth="1"/>
    <col min="4387" max="4388" width="1" style="38" customWidth="1"/>
    <col min="4389" max="4389" width="17.85546875" style="38" customWidth="1"/>
    <col min="4390" max="4391" width="1" style="38" customWidth="1"/>
    <col min="4392" max="4421" width="0" style="38" hidden="1" customWidth="1"/>
    <col min="4422" max="4423" width="1" style="38" customWidth="1"/>
    <col min="4424" max="4424" width="17.85546875" style="38" customWidth="1"/>
    <col min="4425" max="4425" width="1" style="38" customWidth="1"/>
    <col min="4426" max="4426" width="2" style="38" customWidth="1"/>
    <col min="4427" max="4427" width="6.42578125" style="38" customWidth="1"/>
    <col min="4428" max="4428" width="17.42578125" style="38" customWidth="1"/>
    <col min="4429" max="4429" width="12.28515625" style="38" customWidth="1"/>
    <col min="4430" max="4538" width="10" style="38"/>
    <col min="4539" max="4539" width="1.85546875" style="38" customWidth="1"/>
    <col min="4540" max="4541" width="1" style="38" customWidth="1"/>
    <col min="4542" max="4542" width="34" style="38" customWidth="1"/>
    <col min="4543" max="4544" width="1" style="38" customWidth="1"/>
    <col min="4545" max="4545" width="17.85546875" style="38" customWidth="1"/>
    <col min="4546" max="4547" width="1" style="38" customWidth="1"/>
    <col min="4548" max="4572" width="0" style="38" hidden="1" customWidth="1"/>
    <col min="4573" max="4574" width="1" style="38" customWidth="1"/>
    <col min="4575" max="4575" width="17.85546875" style="38" customWidth="1"/>
    <col min="4576" max="4577" width="1" style="38" customWidth="1"/>
    <col min="4578" max="4607" width="0" style="38" hidden="1" customWidth="1"/>
    <col min="4608" max="4609" width="1" style="38" customWidth="1"/>
    <col min="4610" max="4610" width="17.85546875" style="38" customWidth="1"/>
    <col min="4611" max="4614" width="1" style="38" customWidth="1"/>
    <col min="4615" max="4615" width="17.85546875" style="38" customWidth="1"/>
    <col min="4616" max="4617" width="1" style="38" customWidth="1"/>
    <col min="4618" max="4642" width="0" style="38" hidden="1" customWidth="1"/>
    <col min="4643" max="4644" width="1" style="38" customWidth="1"/>
    <col min="4645" max="4645" width="17.85546875" style="38" customWidth="1"/>
    <col min="4646" max="4647" width="1" style="38" customWidth="1"/>
    <col min="4648" max="4677" width="0" style="38" hidden="1" customWidth="1"/>
    <col min="4678" max="4679" width="1" style="38" customWidth="1"/>
    <col min="4680" max="4680" width="17.85546875" style="38" customWidth="1"/>
    <col min="4681" max="4681" width="1" style="38" customWidth="1"/>
    <col min="4682" max="4682" width="2" style="38" customWidth="1"/>
    <col min="4683" max="4683" width="6.42578125" style="38" customWidth="1"/>
    <col min="4684" max="4684" width="17.42578125" style="38" customWidth="1"/>
    <col min="4685" max="4685" width="12.28515625" style="38" customWidth="1"/>
    <col min="4686" max="4794" width="10" style="38"/>
    <col min="4795" max="4795" width="1.85546875" style="38" customWidth="1"/>
    <col min="4796" max="4797" width="1" style="38" customWidth="1"/>
    <col min="4798" max="4798" width="34" style="38" customWidth="1"/>
    <col min="4799" max="4800" width="1" style="38" customWidth="1"/>
    <col min="4801" max="4801" width="17.85546875" style="38" customWidth="1"/>
    <col min="4802" max="4803" width="1" style="38" customWidth="1"/>
    <col min="4804" max="4828" width="0" style="38" hidden="1" customWidth="1"/>
    <col min="4829" max="4830" width="1" style="38" customWidth="1"/>
    <col min="4831" max="4831" width="17.85546875" style="38" customWidth="1"/>
    <col min="4832" max="4833" width="1" style="38" customWidth="1"/>
    <col min="4834" max="4863" width="0" style="38" hidden="1" customWidth="1"/>
    <col min="4864" max="4865" width="1" style="38" customWidth="1"/>
    <col min="4866" max="4866" width="17.85546875" style="38" customWidth="1"/>
    <col min="4867" max="4870" width="1" style="38" customWidth="1"/>
    <col min="4871" max="4871" width="17.85546875" style="38" customWidth="1"/>
    <col min="4872" max="4873" width="1" style="38" customWidth="1"/>
    <col min="4874" max="4898" width="0" style="38" hidden="1" customWidth="1"/>
    <col min="4899" max="4900" width="1" style="38" customWidth="1"/>
    <col min="4901" max="4901" width="17.85546875" style="38" customWidth="1"/>
    <col min="4902" max="4903" width="1" style="38" customWidth="1"/>
    <col min="4904" max="4933" width="0" style="38" hidden="1" customWidth="1"/>
    <col min="4934" max="4935" width="1" style="38" customWidth="1"/>
    <col min="4936" max="4936" width="17.85546875" style="38" customWidth="1"/>
    <col min="4937" max="4937" width="1" style="38" customWidth="1"/>
    <col min="4938" max="4938" width="2" style="38" customWidth="1"/>
    <col min="4939" max="4939" width="6.42578125" style="38" customWidth="1"/>
    <col min="4940" max="4940" width="17.42578125" style="38" customWidth="1"/>
    <col min="4941" max="4941" width="12.28515625" style="38" customWidth="1"/>
    <col min="4942" max="5050" width="10" style="38"/>
    <col min="5051" max="5051" width="1.85546875" style="38" customWidth="1"/>
    <col min="5052" max="5053" width="1" style="38" customWidth="1"/>
    <col min="5054" max="5054" width="34" style="38" customWidth="1"/>
    <col min="5055" max="5056" width="1" style="38" customWidth="1"/>
    <col min="5057" max="5057" width="17.85546875" style="38" customWidth="1"/>
    <col min="5058" max="5059" width="1" style="38" customWidth="1"/>
    <col min="5060" max="5084" width="0" style="38" hidden="1" customWidth="1"/>
    <col min="5085" max="5086" width="1" style="38" customWidth="1"/>
    <col min="5087" max="5087" width="17.85546875" style="38" customWidth="1"/>
    <col min="5088" max="5089" width="1" style="38" customWidth="1"/>
    <col min="5090" max="5119" width="0" style="38" hidden="1" customWidth="1"/>
    <col min="5120" max="5121" width="1" style="38" customWidth="1"/>
    <col min="5122" max="5122" width="17.85546875" style="38" customWidth="1"/>
    <col min="5123" max="5126" width="1" style="38" customWidth="1"/>
    <col min="5127" max="5127" width="17.85546875" style="38" customWidth="1"/>
    <col min="5128" max="5129" width="1" style="38" customWidth="1"/>
    <col min="5130" max="5154" width="0" style="38" hidden="1" customWidth="1"/>
    <col min="5155" max="5156" width="1" style="38" customWidth="1"/>
    <col min="5157" max="5157" width="17.85546875" style="38" customWidth="1"/>
    <col min="5158" max="5159" width="1" style="38" customWidth="1"/>
    <col min="5160" max="5189" width="0" style="38" hidden="1" customWidth="1"/>
    <col min="5190" max="5191" width="1" style="38" customWidth="1"/>
    <col min="5192" max="5192" width="17.85546875" style="38" customWidth="1"/>
    <col min="5193" max="5193" width="1" style="38" customWidth="1"/>
    <col min="5194" max="5194" width="2" style="38" customWidth="1"/>
    <col min="5195" max="5195" width="6.42578125" style="38" customWidth="1"/>
    <col min="5196" max="5196" width="17.42578125" style="38" customWidth="1"/>
    <col min="5197" max="5197" width="12.28515625" style="38" customWidth="1"/>
    <col min="5198" max="5306" width="10" style="38"/>
    <col min="5307" max="5307" width="1.85546875" style="38" customWidth="1"/>
    <col min="5308" max="5309" width="1" style="38" customWidth="1"/>
    <col min="5310" max="5310" width="34" style="38" customWidth="1"/>
    <col min="5311" max="5312" width="1" style="38" customWidth="1"/>
    <col min="5313" max="5313" width="17.85546875" style="38" customWidth="1"/>
    <col min="5314" max="5315" width="1" style="38" customWidth="1"/>
    <col min="5316" max="5340" width="0" style="38" hidden="1" customWidth="1"/>
    <col min="5341" max="5342" width="1" style="38" customWidth="1"/>
    <col min="5343" max="5343" width="17.85546875" style="38" customWidth="1"/>
    <col min="5344" max="5345" width="1" style="38" customWidth="1"/>
    <col min="5346" max="5375" width="0" style="38" hidden="1" customWidth="1"/>
    <col min="5376" max="5377" width="1" style="38" customWidth="1"/>
    <col min="5378" max="5378" width="17.85546875" style="38" customWidth="1"/>
    <col min="5379" max="5382" width="1" style="38" customWidth="1"/>
    <col min="5383" max="5383" width="17.85546875" style="38" customWidth="1"/>
    <col min="5384" max="5385" width="1" style="38" customWidth="1"/>
    <col min="5386" max="5410" width="0" style="38" hidden="1" customWidth="1"/>
    <col min="5411" max="5412" width="1" style="38" customWidth="1"/>
    <col min="5413" max="5413" width="17.85546875" style="38" customWidth="1"/>
    <col min="5414" max="5415" width="1" style="38" customWidth="1"/>
    <col min="5416" max="5445" width="0" style="38" hidden="1" customWidth="1"/>
    <col min="5446" max="5447" width="1" style="38" customWidth="1"/>
    <col min="5448" max="5448" width="17.85546875" style="38" customWidth="1"/>
    <col min="5449" max="5449" width="1" style="38" customWidth="1"/>
    <col min="5450" max="5450" width="2" style="38" customWidth="1"/>
    <col min="5451" max="5451" width="6.42578125" style="38" customWidth="1"/>
    <col min="5452" max="5452" width="17.42578125" style="38" customWidth="1"/>
    <col min="5453" max="5453" width="12.28515625" style="38" customWidth="1"/>
    <col min="5454" max="5562" width="10" style="38"/>
    <col min="5563" max="5563" width="1.85546875" style="38" customWidth="1"/>
    <col min="5564" max="5565" width="1" style="38" customWidth="1"/>
    <col min="5566" max="5566" width="34" style="38" customWidth="1"/>
    <col min="5567" max="5568" width="1" style="38" customWidth="1"/>
    <col min="5569" max="5569" width="17.85546875" style="38" customWidth="1"/>
    <col min="5570" max="5571" width="1" style="38" customWidth="1"/>
    <col min="5572" max="5596" width="0" style="38" hidden="1" customWidth="1"/>
    <col min="5597" max="5598" width="1" style="38" customWidth="1"/>
    <col min="5599" max="5599" width="17.85546875" style="38" customWidth="1"/>
    <col min="5600" max="5601" width="1" style="38" customWidth="1"/>
    <col min="5602" max="5631" width="0" style="38" hidden="1" customWidth="1"/>
    <col min="5632" max="5633" width="1" style="38" customWidth="1"/>
    <col min="5634" max="5634" width="17.85546875" style="38" customWidth="1"/>
    <col min="5635" max="5638" width="1" style="38" customWidth="1"/>
    <col min="5639" max="5639" width="17.85546875" style="38" customWidth="1"/>
    <col min="5640" max="5641" width="1" style="38" customWidth="1"/>
    <col min="5642" max="5666" width="0" style="38" hidden="1" customWidth="1"/>
    <col min="5667" max="5668" width="1" style="38" customWidth="1"/>
    <col min="5669" max="5669" width="17.85546875" style="38" customWidth="1"/>
    <col min="5670" max="5671" width="1" style="38" customWidth="1"/>
    <col min="5672" max="5701" width="0" style="38" hidden="1" customWidth="1"/>
    <col min="5702" max="5703" width="1" style="38" customWidth="1"/>
    <col min="5704" max="5704" width="17.85546875" style="38" customWidth="1"/>
    <col min="5705" max="5705" width="1" style="38" customWidth="1"/>
    <col min="5706" max="5706" width="2" style="38" customWidth="1"/>
    <col min="5707" max="5707" width="6.42578125" style="38" customWidth="1"/>
    <col min="5708" max="5708" width="17.42578125" style="38" customWidth="1"/>
    <col min="5709" max="5709" width="12.28515625" style="38" customWidth="1"/>
    <col min="5710" max="5818" width="10" style="38"/>
    <col min="5819" max="5819" width="1.85546875" style="38" customWidth="1"/>
    <col min="5820" max="5821" width="1" style="38" customWidth="1"/>
    <col min="5822" max="5822" width="34" style="38" customWidth="1"/>
    <col min="5823" max="5824" width="1" style="38" customWidth="1"/>
    <col min="5825" max="5825" width="17.85546875" style="38" customWidth="1"/>
    <col min="5826" max="5827" width="1" style="38" customWidth="1"/>
    <col min="5828" max="5852" width="0" style="38" hidden="1" customWidth="1"/>
    <col min="5853" max="5854" width="1" style="38" customWidth="1"/>
    <col min="5855" max="5855" width="17.85546875" style="38" customWidth="1"/>
    <col min="5856" max="5857" width="1" style="38" customWidth="1"/>
    <col min="5858" max="5887" width="0" style="38" hidden="1" customWidth="1"/>
    <col min="5888" max="5889" width="1" style="38" customWidth="1"/>
    <col min="5890" max="5890" width="17.85546875" style="38" customWidth="1"/>
    <col min="5891" max="5894" width="1" style="38" customWidth="1"/>
    <col min="5895" max="5895" width="17.85546875" style="38" customWidth="1"/>
    <col min="5896" max="5897" width="1" style="38" customWidth="1"/>
    <col min="5898" max="5922" width="0" style="38" hidden="1" customWidth="1"/>
    <col min="5923" max="5924" width="1" style="38" customWidth="1"/>
    <col min="5925" max="5925" width="17.85546875" style="38" customWidth="1"/>
    <col min="5926" max="5927" width="1" style="38" customWidth="1"/>
    <col min="5928" max="5957" width="0" style="38" hidden="1" customWidth="1"/>
    <col min="5958" max="5959" width="1" style="38" customWidth="1"/>
    <col min="5960" max="5960" width="17.85546875" style="38" customWidth="1"/>
    <col min="5961" max="5961" width="1" style="38" customWidth="1"/>
    <col min="5962" max="5962" width="2" style="38" customWidth="1"/>
    <col min="5963" max="5963" width="6.42578125" style="38" customWidth="1"/>
    <col min="5964" max="5964" width="17.42578125" style="38" customWidth="1"/>
    <col min="5965" max="5965" width="12.28515625" style="38" customWidth="1"/>
    <col min="5966" max="6074" width="10" style="38"/>
    <col min="6075" max="6075" width="1.85546875" style="38" customWidth="1"/>
    <col min="6076" max="6077" width="1" style="38" customWidth="1"/>
    <col min="6078" max="6078" width="34" style="38" customWidth="1"/>
    <col min="6079" max="6080" width="1" style="38" customWidth="1"/>
    <col min="6081" max="6081" width="17.85546875" style="38" customWidth="1"/>
    <col min="6082" max="6083" width="1" style="38" customWidth="1"/>
    <col min="6084" max="6108" width="0" style="38" hidden="1" customWidth="1"/>
    <col min="6109" max="6110" width="1" style="38" customWidth="1"/>
    <col min="6111" max="6111" width="17.85546875" style="38" customWidth="1"/>
    <col min="6112" max="6113" width="1" style="38" customWidth="1"/>
    <col min="6114" max="6143" width="0" style="38" hidden="1" customWidth="1"/>
    <col min="6144" max="6145" width="1" style="38" customWidth="1"/>
    <col min="6146" max="6146" width="17.85546875" style="38" customWidth="1"/>
    <col min="6147" max="6150" width="1" style="38" customWidth="1"/>
    <col min="6151" max="6151" width="17.85546875" style="38" customWidth="1"/>
    <col min="6152" max="6153" width="1" style="38" customWidth="1"/>
    <col min="6154" max="6178" width="0" style="38" hidden="1" customWidth="1"/>
    <col min="6179" max="6180" width="1" style="38" customWidth="1"/>
    <col min="6181" max="6181" width="17.85546875" style="38" customWidth="1"/>
    <col min="6182" max="6183" width="1" style="38" customWidth="1"/>
    <col min="6184" max="6213" width="0" style="38" hidden="1" customWidth="1"/>
    <col min="6214" max="6215" width="1" style="38" customWidth="1"/>
    <col min="6216" max="6216" width="17.85546875" style="38" customWidth="1"/>
    <col min="6217" max="6217" width="1" style="38" customWidth="1"/>
    <col min="6218" max="6218" width="2" style="38" customWidth="1"/>
    <col min="6219" max="6219" width="6.42578125" style="38" customWidth="1"/>
    <col min="6220" max="6220" width="17.42578125" style="38" customWidth="1"/>
    <col min="6221" max="6221" width="12.28515625" style="38" customWidth="1"/>
    <col min="6222" max="6330" width="10" style="38"/>
    <col min="6331" max="6331" width="1.85546875" style="38" customWidth="1"/>
    <col min="6332" max="6333" width="1" style="38" customWidth="1"/>
    <col min="6334" max="6334" width="34" style="38" customWidth="1"/>
    <col min="6335" max="6336" width="1" style="38" customWidth="1"/>
    <col min="6337" max="6337" width="17.85546875" style="38" customWidth="1"/>
    <col min="6338" max="6339" width="1" style="38" customWidth="1"/>
    <col min="6340" max="6364" width="0" style="38" hidden="1" customWidth="1"/>
    <col min="6365" max="6366" width="1" style="38" customWidth="1"/>
    <col min="6367" max="6367" width="17.85546875" style="38" customWidth="1"/>
    <col min="6368" max="6369" width="1" style="38" customWidth="1"/>
    <col min="6370" max="6399" width="0" style="38" hidden="1" customWidth="1"/>
    <col min="6400" max="6401" width="1" style="38" customWidth="1"/>
    <col min="6402" max="6402" width="17.85546875" style="38" customWidth="1"/>
    <col min="6403" max="6406" width="1" style="38" customWidth="1"/>
    <col min="6407" max="6407" width="17.85546875" style="38" customWidth="1"/>
    <col min="6408" max="6409" width="1" style="38" customWidth="1"/>
    <col min="6410" max="6434" width="0" style="38" hidden="1" customWidth="1"/>
    <col min="6435" max="6436" width="1" style="38" customWidth="1"/>
    <col min="6437" max="6437" width="17.85546875" style="38" customWidth="1"/>
    <col min="6438" max="6439" width="1" style="38" customWidth="1"/>
    <col min="6440" max="6469" width="0" style="38" hidden="1" customWidth="1"/>
    <col min="6470" max="6471" width="1" style="38" customWidth="1"/>
    <col min="6472" max="6472" width="17.85546875" style="38" customWidth="1"/>
    <col min="6473" max="6473" width="1" style="38" customWidth="1"/>
    <col min="6474" max="6474" width="2" style="38" customWidth="1"/>
    <col min="6475" max="6475" width="6.42578125" style="38" customWidth="1"/>
    <col min="6476" max="6476" width="17.42578125" style="38" customWidth="1"/>
    <col min="6477" max="6477" width="12.28515625" style="38" customWidth="1"/>
    <col min="6478" max="6586" width="10" style="38"/>
    <col min="6587" max="6587" width="1.85546875" style="38" customWidth="1"/>
    <col min="6588" max="6589" width="1" style="38" customWidth="1"/>
    <col min="6590" max="6590" width="34" style="38" customWidth="1"/>
    <col min="6591" max="6592" width="1" style="38" customWidth="1"/>
    <col min="6593" max="6593" width="17.85546875" style="38" customWidth="1"/>
    <col min="6594" max="6595" width="1" style="38" customWidth="1"/>
    <col min="6596" max="6620" width="0" style="38" hidden="1" customWidth="1"/>
    <col min="6621" max="6622" width="1" style="38" customWidth="1"/>
    <col min="6623" max="6623" width="17.85546875" style="38" customWidth="1"/>
    <col min="6624" max="6625" width="1" style="38" customWidth="1"/>
    <col min="6626" max="6655" width="0" style="38" hidden="1" customWidth="1"/>
    <col min="6656" max="6657" width="1" style="38" customWidth="1"/>
    <col min="6658" max="6658" width="17.85546875" style="38" customWidth="1"/>
    <col min="6659" max="6662" width="1" style="38" customWidth="1"/>
    <col min="6663" max="6663" width="17.85546875" style="38" customWidth="1"/>
    <col min="6664" max="6665" width="1" style="38" customWidth="1"/>
    <col min="6666" max="6690" width="0" style="38" hidden="1" customWidth="1"/>
    <col min="6691" max="6692" width="1" style="38" customWidth="1"/>
    <col min="6693" max="6693" width="17.85546875" style="38" customWidth="1"/>
    <col min="6694" max="6695" width="1" style="38" customWidth="1"/>
    <col min="6696" max="6725" width="0" style="38" hidden="1" customWidth="1"/>
    <col min="6726" max="6727" width="1" style="38" customWidth="1"/>
    <col min="6728" max="6728" width="17.85546875" style="38" customWidth="1"/>
    <col min="6729" max="6729" width="1" style="38" customWidth="1"/>
    <col min="6730" max="6730" width="2" style="38" customWidth="1"/>
    <col min="6731" max="6731" width="6.42578125" style="38" customWidth="1"/>
    <col min="6732" max="6732" width="17.42578125" style="38" customWidth="1"/>
    <col min="6733" max="6733" width="12.28515625" style="38" customWidth="1"/>
    <col min="6734" max="6842" width="10" style="38"/>
    <col min="6843" max="6843" width="1.85546875" style="38" customWidth="1"/>
    <col min="6844" max="6845" width="1" style="38" customWidth="1"/>
    <col min="6846" max="6846" width="34" style="38" customWidth="1"/>
    <col min="6847" max="6848" width="1" style="38" customWidth="1"/>
    <col min="6849" max="6849" width="17.85546875" style="38" customWidth="1"/>
    <col min="6850" max="6851" width="1" style="38" customWidth="1"/>
    <col min="6852" max="6876" width="0" style="38" hidden="1" customWidth="1"/>
    <col min="6877" max="6878" width="1" style="38" customWidth="1"/>
    <col min="6879" max="6879" width="17.85546875" style="38" customWidth="1"/>
    <col min="6880" max="6881" width="1" style="38" customWidth="1"/>
    <col min="6882" max="6911" width="0" style="38" hidden="1" customWidth="1"/>
    <col min="6912" max="6913" width="1" style="38" customWidth="1"/>
    <col min="6914" max="6914" width="17.85546875" style="38" customWidth="1"/>
    <col min="6915" max="6918" width="1" style="38" customWidth="1"/>
    <col min="6919" max="6919" width="17.85546875" style="38" customWidth="1"/>
    <col min="6920" max="6921" width="1" style="38" customWidth="1"/>
    <col min="6922" max="6946" width="0" style="38" hidden="1" customWidth="1"/>
    <col min="6947" max="6948" width="1" style="38" customWidth="1"/>
    <col min="6949" max="6949" width="17.85546875" style="38" customWidth="1"/>
    <col min="6950" max="6951" width="1" style="38" customWidth="1"/>
    <col min="6952" max="6981" width="0" style="38" hidden="1" customWidth="1"/>
    <col min="6982" max="6983" width="1" style="38" customWidth="1"/>
    <col min="6984" max="6984" width="17.85546875" style="38" customWidth="1"/>
    <col min="6985" max="6985" width="1" style="38" customWidth="1"/>
    <col min="6986" max="6986" width="2" style="38" customWidth="1"/>
    <col min="6987" max="6987" width="6.42578125" style="38" customWidth="1"/>
    <col min="6988" max="6988" width="17.42578125" style="38" customWidth="1"/>
    <col min="6989" max="6989" width="12.28515625" style="38" customWidth="1"/>
    <col min="6990" max="7098" width="10" style="38"/>
    <col min="7099" max="7099" width="1.85546875" style="38" customWidth="1"/>
    <col min="7100" max="7101" width="1" style="38" customWidth="1"/>
    <col min="7102" max="7102" width="34" style="38" customWidth="1"/>
    <col min="7103" max="7104" width="1" style="38" customWidth="1"/>
    <col min="7105" max="7105" width="17.85546875" style="38" customWidth="1"/>
    <col min="7106" max="7107" width="1" style="38" customWidth="1"/>
    <col min="7108" max="7132" width="0" style="38" hidden="1" customWidth="1"/>
    <col min="7133" max="7134" width="1" style="38" customWidth="1"/>
    <col min="7135" max="7135" width="17.85546875" style="38" customWidth="1"/>
    <col min="7136" max="7137" width="1" style="38" customWidth="1"/>
    <col min="7138" max="7167" width="0" style="38" hidden="1" customWidth="1"/>
    <col min="7168" max="7169" width="1" style="38" customWidth="1"/>
    <col min="7170" max="7170" width="17.85546875" style="38" customWidth="1"/>
    <col min="7171" max="7174" width="1" style="38" customWidth="1"/>
    <col min="7175" max="7175" width="17.85546875" style="38" customWidth="1"/>
    <col min="7176" max="7177" width="1" style="38" customWidth="1"/>
    <col min="7178" max="7202" width="0" style="38" hidden="1" customWidth="1"/>
    <col min="7203" max="7204" width="1" style="38" customWidth="1"/>
    <col min="7205" max="7205" width="17.85546875" style="38" customWidth="1"/>
    <col min="7206" max="7207" width="1" style="38" customWidth="1"/>
    <col min="7208" max="7237" width="0" style="38" hidden="1" customWidth="1"/>
    <col min="7238" max="7239" width="1" style="38" customWidth="1"/>
    <col min="7240" max="7240" width="17.85546875" style="38" customWidth="1"/>
    <col min="7241" max="7241" width="1" style="38" customWidth="1"/>
    <col min="7242" max="7242" width="2" style="38" customWidth="1"/>
    <col min="7243" max="7243" width="6.42578125" style="38" customWidth="1"/>
    <col min="7244" max="7244" width="17.42578125" style="38" customWidth="1"/>
    <col min="7245" max="7245" width="12.28515625" style="38" customWidth="1"/>
    <col min="7246" max="7354" width="10" style="38"/>
    <col min="7355" max="7355" width="1.85546875" style="38" customWidth="1"/>
    <col min="7356" max="7357" width="1" style="38" customWidth="1"/>
    <col min="7358" max="7358" width="34" style="38" customWidth="1"/>
    <col min="7359" max="7360" width="1" style="38" customWidth="1"/>
    <col min="7361" max="7361" width="17.85546875" style="38" customWidth="1"/>
    <col min="7362" max="7363" width="1" style="38" customWidth="1"/>
    <col min="7364" max="7388" width="0" style="38" hidden="1" customWidth="1"/>
    <col min="7389" max="7390" width="1" style="38" customWidth="1"/>
    <col min="7391" max="7391" width="17.85546875" style="38" customWidth="1"/>
    <col min="7392" max="7393" width="1" style="38" customWidth="1"/>
    <col min="7394" max="7423" width="0" style="38" hidden="1" customWidth="1"/>
    <col min="7424" max="7425" width="1" style="38" customWidth="1"/>
    <col min="7426" max="7426" width="17.85546875" style="38" customWidth="1"/>
    <col min="7427" max="7430" width="1" style="38" customWidth="1"/>
    <col min="7431" max="7431" width="17.85546875" style="38" customWidth="1"/>
    <col min="7432" max="7433" width="1" style="38" customWidth="1"/>
    <col min="7434" max="7458" width="0" style="38" hidden="1" customWidth="1"/>
    <col min="7459" max="7460" width="1" style="38" customWidth="1"/>
    <col min="7461" max="7461" width="17.85546875" style="38" customWidth="1"/>
    <col min="7462" max="7463" width="1" style="38" customWidth="1"/>
    <col min="7464" max="7493" width="0" style="38" hidden="1" customWidth="1"/>
    <col min="7494" max="7495" width="1" style="38" customWidth="1"/>
    <col min="7496" max="7496" width="17.85546875" style="38" customWidth="1"/>
    <col min="7497" max="7497" width="1" style="38" customWidth="1"/>
    <col min="7498" max="7498" width="2" style="38" customWidth="1"/>
    <col min="7499" max="7499" width="6.42578125" style="38" customWidth="1"/>
    <col min="7500" max="7500" width="17.42578125" style="38" customWidth="1"/>
    <col min="7501" max="7501" width="12.28515625" style="38" customWidth="1"/>
    <col min="7502" max="7610" width="10" style="38"/>
    <col min="7611" max="7611" width="1.85546875" style="38" customWidth="1"/>
    <col min="7612" max="7613" width="1" style="38" customWidth="1"/>
    <col min="7614" max="7614" width="34" style="38" customWidth="1"/>
    <col min="7615" max="7616" width="1" style="38" customWidth="1"/>
    <col min="7617" max="7617" width="17.85546875" style="38" customWidth="1"/>
    <col min="7618" max="7619" width="1" style="38" customWidth="1"/>
    <col min="7620" max="7644" width="0" style="38" hidden="1" customWidth="1"/>
    <col min="7645" max="7646" width="1" style="38" customWidth="1"/>
    <col min="7647" max="7647" width="17.85546875" style="38" customWidth="1"/>
    <col min="7648" max="7649" width="1" style="38" customWidth="1"/>
    <col min="7650" max="7679" width="0" style="38" hidden="1" customWidth="1"/>
    <col min="7680" max="7681" width="1" style="38" customWidth="1"/>
    <col min="7682" max="7682" width="17.85546875" style="38" customWidth="1"/>
    <col min="7683" max="7686" width="1" style="38" customWidth="1"/>
    <col min="7687" max="7687" width="17.85546875" style="38" customWidth="1"/>
    <col min="7688" max="7689" width="1" style="38" customWidth="1"/>
    <col min="7690" max="7714" width="0" style="38" hidden="1" customWidth="1"/>
    <col min="7715" max="7716" width="1" style="38" customWidth="1"/>
    <col min="7717" max="7717" width="17.85546875" style="38" customWidth="1"/>
    <col min="7718" max="7719" width="1" style="38" customWidth="1"/>
    <col min="7720" max="7749" width="0" style="38" hidden="1" customWidth="1"/>
    <col min="7750" max="7751" width="1" style="38" customWidth="1"/>
    <col min="7752" max="7752" width="17.85546875" style="38" customWidth="1"/>
    <col min="7753" max="7753" width="1" style="38" customWidth="1"/>
    <col min="7754" max="7754" width="2" style="38" customWidth="1"/>
    <col min="7755" max="7755" width="6.42578125" style="38" customWidth="1"/>
    <col min="7756" max="7756" width="17.42578125" style="38" customWidth="1"/>
    <col min="7757" max="7757" width="12.28515625" style="38" customWidth="1"/>
    <col min="7758" max="7866" width="10" style="38"/>
    <col min="7867" max="7867" width="1.85546875" style="38" customWidth="1"/>
    <col min="7868" max="7869" width="1" style="38" customWidth="1"/>
    <col min="7870" max="7870" width="34" style="38" customWidth="1"/>
    <col min="7871" max="7872" width="1" style="38" customWidth="1"/>
    <col min="7873" max="7873" width="17.85546875" style="38" customWidth="1"/>
    <col min="7874" max="7875" width="1" style="38" customWidth="1"/>
    <col min="7876" max="7900" width="0" style="38" hidden="1" customWidth="1"/>
    <col min="7901" max="7902" width="1" style="38" customWidth="1"/>
    <col min="7903" max="7903" width="17.85546875" style="38" customWidth="1"/>
    <col min="7904" max="7905" width="1" style="38" customWidth="1"/>
    <col min="7906" max="7935" width="0" style="38" hidden="1" customWidth="1"/>
    <col min="7936" max="7937" width="1" style="38" customWidth="1"/>
    <col min="7938" max="7938" width="17.85546875" style="38" customWidth="1"/>
    <col min="7939" max="7942" width="1" style="38" customWidth="1"/>
    <col min="7943" max="7943" width="17.85546875" style="38" customWidth="1"/>
    <col min="7944" max="7945" width="1" style="38" customWidth="1"/>
    <col min="7946" max="7970" width="0" style="38" hidden="1" customWidth="1"/>
    <col min="7971" max="7972" width="1" style="38" customWidth="1"/>
    <col min="7973" max="7973" width="17.85546875" style="38" customWidth="1"/>
    <col min="7974" max="7975" width="1" style="38" customWidth="1"/>
    <col min="7976" max="8005" width="0" style="38" hidden="1" customWidth="1"/>
    <col min="8006" max="8007" width="1" style="38" customWidth="1"/>
    <col min="8008" max="8008" width="17.85546875" style="38" customWidth="1"/>
    <col min="8009" max="8009" width="1" style="38" customWidth="1"/>
    <col min="8010" max="8010" width="2" style="38" customWidth="1"/>
    <col min="8011" max="8011" width="6.42578125" style="38" customWidth="1"/>
    <col min="8012" max="8012" width="17.42578125" style="38" customWidth="1"/>
    <col min="8013" max="8013" width="12.28515625" style="38" customWidth="1"/>
    <col min="8014" max="8122" width="10" style="38"/>
    <col min="8123" max="8123" width="1.85546875" style="38" customWidth="1"/>
    <col min="8124" max="8125" width="1" style="38" customWidth="1"/>
    <col min="8126" max="8126" width="34" style="38" customWidth="1"/>
    <col min="8127" max="8128" width="1" style="38" customWidth="1"/>
    <col min="8129" max="8129" width="17.85546875" style="38" customWidth="1"/>
    <col min="8130" max="8131" width="1" style="38" customWidth="1"/>
    <col min="8132" max="8156" width="0" style="38" hidden="1" customWidth="1"/>
    <col min="8157" max="8158" width="1" style="38" customWidth="1"/>
    <col min="8159" max="8159" width="17.85546875" style="38" customWidth="1"/>
    <col min="8160" max="8161" width="1" style="38" customWidth="1"/>
    <col min="8162" max="8191" width="0" style="38" hidden="1" customWidth="1"/>
    <col min="8192" max="8193" width="1" style="38" customWidth="1"/>
    <col min="8194" max="8194" width="17.85546875" style="38" customWidth="1"/>
    <col min="8195" max="8198" width="1" style="38" customWidth="1"/>
    <col min="8199" max="8199" width="17.85546875" style="38" customWidth="1"/>
    <col min="8200" max="8201" width="1" style="38" customWidth="1"/>
    <col min="8202" max="8226" width="0" style="38" hidden="1" customWidth="1"/>
    <col min="8227" max="8228" width="1" style="38" customWidth="1"/>
    <col min="8229" max="8229" width="17.85546875" style="38" customWidth="1"/>
    <col min="8230" max="8231" width="1" style="38" customWidth="1"/>
    <col min="8232" max="8261" width="0" style="38" hidden="1" customWidth="1"/>
    <col min="8262" max="8263" width="1" style="38" customWidth="1"/>
    <col min="8264" max="8264" width="17.85546875" style="38" customWidth="1"/>
    <col min="8265" max="8265" width="1" style="38" customWidth="1"/>
    <col min="8266" max="8266" width="2" style="38" customWidth="1"/>
    <col min="8267" max="8267" width="6.42578125" style="38" customWidth="1"/>
    <col min="8268" max="8268" width="17.42578125" style="38" customWidth="1"/>
    <col min="8269" max="8269" width="12.28515625" style="38" customWidth="1"/>
    <col min="8270" max="8378" width="10" style="38"/>
    <col min="8379" max="8379" width="1.85546875" style="38" customWidth="1"/>
    <col min="8380" max="8381" width="1" style="38" customWidth="1"/>
    <col min="8382" max="8382" width="34" style="38" customWidth="1"/>
    <col min="8383" max="8384" width="1" style="38" customWidth="1"/>
    <col min="8385" max="8385" width="17.85546875" style="38" customWidth="1"/>
    <col min="8386" max="8387" width="1" style="38" customWidth="1"/>
    <col min="8388" max="8412" width="0" style="38" hidden="1" customWidth="1"/>
    <col min="8413" max="8414" width="1" style="38" customWidth="1"/>
    <col min="8415" max="8415" width="17.85546875" style="38" customWidth="1"/>
    <col min="8416" max="8417" width="1" style="38" customWidth="1"/>
    <col min="8418" max="8447" width="0" style="38" hidden="1" customWidth="1"/>
    <col min="8448" max="8449" width="1" style="38" customWidth="1"/>
    <col min="8450" max="8450" width="17.85546875" style="38" customWidth="1"/>
    <col min="8451" max="8454" width="1" style="38" customWidth="1"/>
    <col min="8455" max="8455" width="17.85546875" style="38" customWidth="1"/>
    <col min="8456" max="8457" width="1" style="38" customWidth="1"/>
    <col min="8458" max="8482" width="0" style="38" hidden="1" customWidth="1"/>
    <col min="8483" max="8484" width="1" style="38" customWidth="1"/>
    <col min="8485" max="8485" width="17.85546875" style="38" customWidth="1"/>
    <col min="8486" max="8487" width="1" style="38" customWidth="1"/>
    <col min="8488" max="8517" width="0" style="38" hidden="1" customWidth="1"/>
    <col min="8518" max="8519" width="1" style="38" customWidth="1"/>
    <col min="8520" max="8520" width="17.85546875" style="38" customWidth="1"/>
    <col min="8521" max="8521" width="1" style="38" customWidth="1"/>
    <col min="8522" max="8522" width="2" style="38" customWidth="1"/>
    <col min="8523" max="8523" width="6.42578125" style="38" customWidth="1"/>
    <col min="8524" max="8524" width="17.42578125" style="38" customWidth="1"/>
    <col min="8525" max="8525" width="12.28515625" style="38" customWidth="1"/>
    <col min="8526" max="8634" width="10" style="38"/>
    <col min="8635" max="8635" width="1.85546875" style="38" customWidth="1"/>
    <col min="8636" max="8637" width="1" style="38" customWidth="1"/>
    <col min="8638" max="8638" width="34" style="38" customWidth="1"/>
    <col min="8639" max="8640" width="1" style="38" customWidth="1"/>
    <col min="8641" max="8641" width="17.85546875" style="38" customWidth="1"/>
    <col min="8642" max="8643" width="1" style="38" customWidth="1"/>
    <col min="8644" max="8668" width="0" style="38" hidden="1" customWidth="1"/>
    <col min="8669" max="8670" width="1" style="38" customWidth="1"/>
    <col min="8671" max="8671" width="17.85546875" style="38" customWidth="1"/>
    <col min="8672" max="8673" width="1" style="38" customWidth="1"/>
    <col min="8674" max="8703" width="0" style="38" hidden="1" customWidth="1"/>
    <col min="8704" max="8705" width="1" style="38" customWidth="1"/>
    <col min="8706" max="8706" width="17.85546875" style="38" customWidth="1"/>
    <col min="8707" max="8710" width="1" style="38" customWidth="1"/>
    <col min="8711" max="8711" width="17.85546875" style="38" customWidth="1"/>
    <col min="8712" max="8713" width="1" style="38" customWidth="1"/>
    <col min="8714" max="8738" width="0" style="38" hidden="1" customWidth="1"/>
    <col min="8739" max="8740" width="1" style="38" customWidth="1"/>
    <col min="8741" max="8741" width="17.85546875" style="38" customWidth="1"/>
    <col min="8742" max="8743" width="1" style="38" customWidth="1"/>
    <col min="8744" max="8773" width="0" style="38" hidden="1" customWidth="1"/>
    <col min="8774" max="8775" width="1" style="38" customWidth="1"/>
    <col min="8776" max="8776" width="17.85546875" style="38" customWidth="1"/>
    <col min="8777" max="8777" width="1" style="38" customWidth="1"/>
    <col min="8778" max="8778" width="2" style="38" customWidth="1"/>
    <col min="8779" max="8779" width="6.42578125" style="38" customWidth="1"/>
    <col min="8780" max="8780" width="17.42578125" style="38" customWidth="1"/>
    <col min="8781" max="8781" width="12.28515625" style="38" customWidth="1"/>
    <col min="8782" max="8890" width="10" style="38"/>
    <col min="8891" max="8891" width="1.85546875" style="38" customWidth="1"/>
    <col min="8892" max="8893" width="1" style="38" customWidth="1"/>
    <col min="8894" max="8894" width="34" style="38" customWidth="1"/>
    <col min="8895" max="8896" width="1" style="38" customWidth="1"/>
    <col min="8897" max="8897" width="17.85546875" style="38" customWidth="1"/>
    <col min="8898" max="8899" width="1" style="38" customWidth="1"/>
    <col min="8900" max="8924" width="0" style="38" hidden="1" customWidth="1"/>
    <col min="8925" max="8926" width="1" style="38" customWidth="1"/>
    <col min="8927" max="8927" width="17.85546875" style="38" customWidth="1"/>
    <col min="8928" max="8929" width="1" style="38" customWidth="1"/>
    <col min="8930" max="8959" width="0" style="38" hidden="1" customWidth="1"/>
    <col min="8960" max="8961" width="1" style="38" customWidth="1"/>
    <col min="8962" max="8962" width="17.85546875" style="38" customWidth="1"/>
    <col min="8963" max="8966" width="1" style="38" customWidth="1"/>
    <col min="8967" max="8967" width="17.85546875" style="38" customWidth="1"/>
    <col min="8968" max="8969" width="1" style="38" customWidth="1"/>
    <col min="8970" max="8994" width="0" style="38" hidden="1" customWidth="1"/>
    <col min="8995" max="8996" width="1" style="38" customWidth="1"/>
    <col min="8997" max="8997" width="17.85546875" style="38" customWidth="1"/>
    <col min="8998" max="8999" width="1" style="38" customWidth="1"/>
    <col min="9000" max="9029" width="0" style="38" hidden="1" customWidth="1"/>
    <col min="9030" max="9031" width="1" style="38" customWidth="1"/>
    <col min="9032" max="9032" width="17.85546875" style="38" customWidth="1"/>
    <col min="9033" max="9033" width="1" style="38" customWidth="1"/>
    <col min="9034" max="9034" width="2" style="38" customWidth="1"/>
    <col min="9035" max="9035" width="6.42578125" style="38" customWidth="1"/>
    <col min="9036" max="9036" width="17.42578125" style="38" customWidth="1"/>
    <col min="9037" max="9037" width="12.28515625" style="38" customWidth="1"/>
    <col min="9038" max="9146" width="10" style="38"/>
    <col min="9147" max="9147" width="1.85546875" style="38" customWidth="1"/>
    <col min="9148" max="9149" width="1" style="38" customWidth="1"/>
    <col min="9150" max="9150" width="34" style="38" customWidth="1"/>
    <col min="9151" max="9152" width="1" style="38" customWidth="1"/>
    <col min="9153" max="9153" width="17.85546875" style="38" customWidth="1"/>
    <col min="9154" max="9155" width="1" style="38" customWidth="1"/>
    <col min="9156" max="9180" width="0" style="38" hidden="1" customWidth="1"/>
    <col min="9181" max="9182" width="1" style="38" customWidth="1"/>
    <col min="9183" max="9183" width="17.85546875" style="38" customWidth="1"/>
    <col min="9184" max="9185" width="1" style="38" customWidth="1"/>
    <col min="9186" max="9215" width="0" style="38" hidden="1" customWidth="1"/>
    <col min="9216" max="9217" width="1" style="38" customWidth="1"/>
    <col min="9218" max="9218" width="17.85546875" style="38" customWidth="1"/>
    <col min="9219" max="9222" width="1" style="38" customWidth="1"/>
    <col min="9223" max="9223" width="17.85546875" style="38" customWidth="1"/>
    <col min="9224" max="9225" width="1" style="38" customWidth="1"/>
    <col min="9226" max="9250" width="0" style="38" hidden="1" customWidth="1"/>
    <col min="9251" max="9252" width="1" style="38" customWidth="1"/>
    <col min="9253" max="9253" width="17.85546875" style="38" customWidth="1"/>
    <col min="9254" max="9255" width="1" style="38" customWidth="1"/>
    <col min="9256" max="9285" width="0" style="38" hidden="1" customWidth="1"/>
    <col min="9286" max="9287" width="1" style="38" customWidth="1"/>
    <col min="9288" max="9288" width="17.85546875" style="38" customWidth="1"/>
    <col min="9289" max="9289" width="1" style="38" customWidth="1"/>
    <col min="9290" max="9290" width="2" style="38" customWidth="1"/>
    <col min="9291" max="9291" width="6.42578125" style="38" customWidth="1"/>
    <col min="9292" max="9292" width="17.42578125" style="38" customWidth="1"/>
    <col min="9293" max="9293" width="12.28515625" style="38" customWidth="1"/>
    <col min="9294" max="9402" width="10" style="38"/>
    <col min="9403" max="9403" width="1.85546875" style="38" customWidth="1"/>
    <col min="9404" max="9405" width="1" style="38" customWidth="1"/>
    <col min="9406" max="9406" width="34" style="38" customWidth="1"/>
    <col min="9407" max="9408" width="1" style="38" customWidth="1"/>
    <col min="9409" max="9409" width="17.85546875" style="38" customWidth="1"/>
    <col min="9410" max="9411" width="1" style="38" customWidth="1"/>
    <col min="9412" max="9436" width="0" style="38" hidden="1" customWidth="1"/>
    <col min="9437" max="9438" width="1" style="38" customWidth="1"/>
    <col min="9439" max="9439" width="17.85546875" style="38" customWidth="1"/>
    <col min="9440" max="9441" width="1" style="38" customWidth="1"/>
    <col min="9442" max="9471" width="0" style="38" hidden="1" customWidth="1"/>
    <col min="9472" max="9473" width="1" style="38" customWidth="1"/>
    <col min="9474" max="9474" width="17.85546875" style="38" customWidth="1"/>
    <col min="9475" max="9478" width="1" style="38" customWidth="1"/>
    <col min="9479" max="9479" width="17.85546875" style="38" customWidth="1"/>
    <col min="9480" max="9481" width="1" style="38" customWidth="1"/>
    <col min="9482" max="9506" width="0" style="38" hidden="1" customWidth="1"/>
    <col min="9507" max="9508" width="1" style="38" customWidth="1"/>
    <col min="9509" max="9509" width="17.85546875" style="38" customWidth="1"/>
    <col min="9510" max="9511" width="1" style="38" customWidth="1"/>
    <col min="9512" max="9541" width="0" style="38" hidden="1" customWidth="1"/>
    <col min="9542" max="9543" width="1" style="38" customWidth="1"/>
    <col min="9544" max="9544" width="17.85546875" style="38" customWidth="1"/>
    <col min="9545" max="9545" width="1" style="38" customWidth="1"/>
    <col min="9546" max="9546" width="2" style="38" customWidth="1"/>
    <col min="9547" max="9547" width="6.42578125" style="38" customWidth="1"/>
    <col min="9548" max="9548" width="17.42578125" style="38" customWidth="1"/>
    <col min="9549" max="9549" width="12.28515625" style="38" customWidth="1"/>
    <col min="9550" max="9658" width="10" style="38"/>
    <col min="9659" max="9659" width="1.85546875" style="38" customWidth="1"/>
    <col min="9660" max="9661" width="1" style="38" customWidth="1"/>
    <col min="9662" max="9662" width="34" style="38" customWidth="1"/>
    <col min="9663" max="9664" width="1" style="38" customWidth="1"/>
    <col min="9665" max="9665" width="17.85546875" style="38" customWidth="1"/>
    <col min="9666" max="9667" width="1" style="38" customWidth="1"/>
    <col min="9668" max="9692" width="0" style="38" hidden="1" customWidth="1"/>
    <col min="9693" max="9694" width="1" style="38" customWidth="1"/>
    <col min="9695" max="9695" width="17.85546875" style="38" customWidth="1"/>
    <col min="9696" max="9697" width="1" style="38" customWidth="1"/>
    <col min="9698" max="9727" width="0" style="38" hidden="1" customWidth="1"/>
    <col min="9728" max="9729" width="1" style="38" customWidth="1"/>
    <col min="9730" max="9730" width="17.85546875" style="38" customWidth="1"/>
    <col min="9731" max="9734" width="1" style="38" customWidth="1"/>
    <col min="9735" max="9735" width="17.85546875" style="38" customWidth="1"/>
    <col min="9736" max="9737" width="1" style="38" customWidth="1"/>
    <col min="9738" max="9762" width="0" style="38" hidden="1" customWidth="1"/>
    <col min="9763" max="9764" width="1" style="38" customWidth="1"/>
    <col min="9765" max="9765" width="17.85546875" style="38" customWidth="1"/>
    <col min="9766" max="9767" width="1" style="38" customWidth="1"/>
    <col min="9768" max="9797" width="0" style="38" hidden="1" customWidth="1"/>
    <col min="9798" max="9799" width="1" style="38" customWidth="1"/>
    <col min="9800" max="9800" width="17.85546875" style="38" customWidth="1"/>
    <col min="9801" max="9801" width="1" style="38" customWidth="1"/>
    <col min="9802" max="9802" width="2" style="38" customWidth="1"/>
    <col min="9803" max="9803" width="6.42578125" style="38" customWidth="1"/>
    <col min="9804" max="9804" width="17.42578125" style="38" customWidth="1"/>
    <col min="9805" max="9805" width="12.28515625" style="38" customWidth="1"/>
    <col min="9806" max="9914" width="10" style="38"/>
    <col min="9915" max="9915" width="1.85546875" style="38" customWidth="1"/>
    <col min="9916" max="9917" width="1" style="38" customWidth="1"/>
    <col min="9918" max="9918" width="34" style="38" customWidth="1"/>
    <col min="9919" max="9920" width="1" style="38" customWidth="1"/>
    <col min="9921" max="9921" width="17.85546875" style="38" customWidth="1"/>
    <col min="9922" max="9923" width="1" style="38" customWidth="1"/>
    <col min="9924" max="9948" width="0" style="38" hidden="1" customWidth="1"/>
    <col min="9949" max="9950" width="1" style="38" customWidth="1"/>
    <col min="9951" max="9951" width="17.85546875" style="38" customWidth="1"/>
    <col min="9952" max="9953" width="1" style="38" customWidth="1"/>
    <col min="9954" max="9983" width="0" style="38" hidden="1" customWidth="1"/>
    <col min="9984" max="9985" width="1" style="38" customWidth="1"/>
    <col min="9986" max="9986" width="17.85546875" style="38" customWidth="1"/>
    <col min="9987" max="9990" width="1" style="38" customWidth="1"/>
    <col min="9991" max="9991" width="17.85546875" style="38" customWidth="1"/>
    <col min="9992" max="9993" width="1" style="38" customWidth="1"/>
    <col min="9994" max="10018" width="0" style="38" hidden="1" customWidth="1"/>
    <col min="10019" max="10020" width="1" style="38" customWidth="1"/>
    <col min="10021" max="10021" width="17.85546875" style="38" customWidth="1"/>
    <col min="10022" max="10023" width="1" style="38" customWidth="1"/>
    <col min="10024" max="10053" width="0" style="38" hidden="1" customWidth="1"/>
    <col min="10054" max="10055" width="1" style="38" customWidth="1"/>
    <col min="10056" max="10056" width="17.85546875" style="38" customWidth="1"/>
    <col min="10057" max="10057" width="1" style="38" customWidth="1"/>
    <col min="10058" max="10058" width="2" style="38" customWidth="1"/>
    <col min="10059" max="10059" width="6.42578125" style="38" customWidth="1"/>
    <col min="10060" max="10060" width="17.42578125" style="38" customWidth="1"/>
    <col min="10061" max="10061" width="12.28515625" style="38" customWidth="1"/>
    <col min="10062" max="10170" width="10" style="38"/>
    <col min="10171" max="10171" width="1.85546875" style="38" customWidth="1"/>
    <col min="10172" max="10173" width="1" style="38" customWidth="1"/>
    <col min="10174" max="10174" width="34" style="38" customWidth="1"/>
    <col min="10175" max="10176" width="1" style="38" customWidth="1"/>
    <col min="10177" max="10177" width="17.85546875" style="38" customWidth="1"/>
    <col min="10178" max="10179" width="1" style="38" customWidth="1"/>
    <col min="10180" max="10204" width="0" style="38" hidden="1" customWidth="1"/>
    <col min="10205" max="10206" width="1" style="38" customWidth="1"/>
    <col min="10207" max="10207" width="17.85546875" style="38" customWidth="1"/>
    <col min="10208" max="10209" width="1" style="38" customWidth="1"/>
    <col min="10210" max="10239" width="0" style="38" hidden="1" customWidth="1"/>
    <col min="10240" max="10241" width="1" style="38" customWidth="1"/>
    <col min="10242" max="10242" width="17.85546875" style="38" customWidth="1"/>
    <col min="10243" max="10246" width="1" style="38" customWidth="1"/>
    <col min="10247" max="10247" width="17.85546875" style="38" customWidth="1"/>
    <col min="10248" max="10249" width="1" style="38" customWidth="1"/>
    <col min="10250" max="10274" width="0" style="38" hidden="1" customWidth="1"/>
    <col min="10275" max="10276" width="1" style="38" customWidth="1"/>
    <col min="10277" max="10277" width="17.85546875" style="38" customWidth="1"/>
    <col min="10278" max="10279" width="1" style="38" customWidth="1"/>
    <col min="10280" max="10309" width="0" style="38" hidden="1" customWidth="1"/>
    <col min="10310" max="10311" width="1" style="38" customWidth="1"/>
    <col min="10312" max="10312" width="17.85546875" style="38" customWidth="1"/>
    <col min="10313" max="10313" width="1" style="38" customWidth="1"/>
    <col min="10314" max="10314" width="2" style="38" customWidth="1"/>
    <col min="10315" max="10315" width="6.42578125" style="38" customWidth="1"/>
    <col min="10316" max="10316" width="17.42578125" style="38" customWidth="1"/>
    <col min="10317" max="10317" width="12.28515625" style="38" customWidth="1"/>
    <col min="10318" max="10426" width="10" style="38"/>
    <col min="10427" max="10427" width="1.85546875" style="38" customWidth="1"/>
    <col min="10428" max="10429" width="1" style="38" customWidth="1"/>
    <col min="10430" max="10430" width="34" style="38" customWidth="1"/>
    <col min="10431" max="10432" width="1" style="38" customWidth="1"/>
    <col min="10433" max="10433" width="17.85546875" style="38" customWidth="1"/>
    <col min="10434" max="10435" width="1" style="38" customWidth="1"/>
    <col min="10436" max="10460" width="0" style="38" hidden="1" customWidth="1"/>
    <col min="10461" max="10462" width="1" style="38" customWidth="1"/>
    <col min="10463" max="10463" width="17.85546875" style="38" customWidth="1"/>
    <col min="10464" max="10465" width="1" style="38" customWidth="1"/>
    <col min="10466" max="10495" width="0" style="38" hidden="1" customWidth="1"/>
    <col min="10496" max="10497" width="1" style="38" customWidth="1"/>
    <col min="10498" max="10498" width="17.85546875" style="38" customWidth="1"/>
    <col min="10499" max="10502" width="1" style="38" customWidth="1"/>
    <col min="10503" max="10503" width="17.85546875" style="38" customWidth="1"/>
    <col min="10504" max="10505" width="1" style="38" customWidth="1"/>
    <col min="10506" max="10530" width="0" style="38" hidden="1" customWidth="1"/>
    <col min="10531" max="10532" width="1" style="38" customWidth="1"/>
    <col min="10533" max="10533" width="17.85546875" style="38" customWidth="1"/>
    <col min="10534" max="10535" width="1" style="38" customWidth="1"/>
    <col min="10536" max="10565" width="0" style="38" hidden="1" customWidth="1"/>
    <col min="10566" max="10567" width="1" style="38" customWidth="1"/>
    <col min="10568" max="10568" width="17.85546875" style="38" customWidth="1"/>
    <col min="10569" max="10569" width="1" style="38" customWidth="1"/>
    <col min="10570" max="10570" width="2" style="38" customWidth="1"/>
    <col min="10571" max="10571" width="6.42578125" style="38" customWidth="1"/>
    <col min="10572" max="10572" width="17.42578125" style="38" customWidth="1"/>
    <col min="10573" max="10573" width="12.28515625" style="38" customWidth="1"/>
    <col min="10574" max="10682" width="10" style="38"/>
    <col min="10683" max="10683" width="1.85546875" style="38" customWidth="1"/>
    <col min="10684" max="10685" width="1" style="38" customWidth="1"/>
    <col min="10686" max="10686" width="34" style="38" customWidth="1"/>
    <col min="10687" max="10688" width="1" style="38" customWidth="1"/>
    <col min="10689" max="10689" width="17.85546875" style="38" customWidth="1"/>
    <col min="10690" max="10691" width="1" style="38" customWidth="1"/>
    <col min="10692" max="10716" width="0" style="38" hidden="1" customWidth="1"/>
    <col min="10717" max="10718" width="1" style="38" customWidth="1"/>
    <col min="10719" max="10719" width="17.85546875" style="38" customWidth="1"/>
    <col min="10720" max="10721" width="1" style="38" customWidth="1"/>
    <col min="10722" max="10751" width="0" style="38" hidden="1" customWidth="1"/>
    <col min="10752" max="10753" width="1" style="38" customWidth="1"/>
    <col min="10754" max="10754" width="17.85546875" style="38" customWidth="1"/>
    <col min="10755" max="10758" width="1" style="38" customWidth="1"/>
    <col min="10759" max="10759" width="17.85546875" style="38" customWidth="1"/>
    <col min="10760" max="10761" width="1" style="38" customWidth="1"/>
    <col min="10762" max="10786" width="0" style="38" hidden="1" customWidth="1"/>
    <col min="10787" max="10788" width="1" style="38" customWidth="1"/>
    <col min="10789" max="10789" width="17.85546875" style="38" customWidth="1"/>
    <col min="10790" max="10791" width="1" style="38" customWidth="1"/>
    <col min="10792" max="10821" width="0" style="38" hidden="1" customWidth="1"/>
    <col min="10822" max="10823" width="1" style="38" customWidth="1"/>
    <col min="10824" max="10824" width="17.85546875" style="38" customWidth="1"/>
    <col min="10825" max="10825" width="1" style="38" customWidth="1"/>
    <col min="10826" max="10826" width="2" style="38" customWidth="1"/>
    <col min="10827" max="10827" width="6.42578125" style="38" customWidth="1"/>
    <col min="10828" max="10828" width="17.42578125" style="38" customWidth="1"/>
    <col min="10829" max="10829" width="12.28515625" style="38" customWidth="1"/>
    <col min="10830" max="10938" width="10" style="38"/>
    <col min="10939" max="10939" width="1.85546875" style="38" customWidth="1"/>
    <col min="10940" max="10941" width="1" style="38" customWidth="1"/>
    <col min="10942" max="10942" width="34" style="38" customWidth="1"/>
    <col min="10943" max="10944" width="1" style="38" customWidth="1"/>
    <col min="10945" max="10945" width="17.85546875" style="38" customWidth="1"/>
    <col min="10946" max="10947" width="1" style="38" customWidth="1"/>
    <col min="10948" max="10972" width="0" style="38" hidden="1" customWidth="1"/>
    <col min="10973" max="10974" width="1" style="38" customWidth="1"/>
    <col min="10975" max="10975" width="17.85546875" style="38" customWidth="1"/>
    <col min="10976" max="10977" width="1" style="38" customWidth="1"/>
    <col min="10978" max="11007" width="0" style="38" hidden="1" customWidth="1"/>
    <col min="11008" max="11009" width="1" style="38" customWidth="1"/>
    <col min="11010" max="11010" width="17.85546875" style="38" customWidth="1"/>
    <col min="11011" max="11014" width="1" style="38" customWidth="1"/>
    <col min="11015" max="11015" width="17.85546875" style="38" customWidth="1"/>
    <col min="11016" max="11017" width="1" style="38" customWidth="1"/>
    <col min="11018" max="11042" width="0" style="38" hidden="1" customWidth="1"/>
    <col min="11043" max="11044" width="1" style="38" customWidth="1"/>
    <col min="11045" max="11045" width="17.85546875" style="38" customWidth="1"/>
    <col min="11046" max="11047" width="1" style="38" customWidth="1"/>
    <col min="11048" max="11077" width="0" style="38" hidden="1" customWidth="1"/>
    <col min="11078" max="11079" width="1" style="38" customWidth="1"/>
    <col min="11080" max="11080" width="17.85546875" style="38" customWidth="1"/>
    <col min="11081" max="11081" width="1" style="38" customWidth="1"/>
    <col min="11082" max="11082" width="2" style="38" customWidth="1"/>
    <col min="11083" max="11083" width="6.42578125" style="38" customWidth="1"/>
    <col min="11084" max="11084" width="17.42578125" style="38" customWidth="1"/>
    <col min="11085" max="11085" width="12.28515625" style="38" customWidth="1"/>
    <col min="11086" max="11194" width="10" style="38"/>
    <col min="11195" max="11195" width="1.85546875" style="38" customWidth="1"/>
    <col min="11196" max="11197" width="1" style="38" customWidth="1"/>
    <col min="11198" max="11198" width="34" style="38" customWidth="1"/>
    <col min="11199" max="11200" width="1" style="38" customWidth="1"/>
    <col min="11201" max="11201" width="17.85546875" style="38" customWidth="1"/>
    <col min="11202" max="11203" width="1" style="38" customWidth="1"/>
    <col min="11204" max="11228" width="0" style="38" hidden="1" customWidth="1"/>
    <col min="11229" max="11230" width="1" style="38" customWidth="1"/>
    <col min="11231" max="11231" width="17.85546875" style="38" customWidth="1"/>
    <col min="11232" max="11233" width="1" style="38" customWidth="1"/>
    <col min="11234" max="11263" width="0" style="38" hidden="1" customWidth="1"/>
    <col min="11264" max="11265" width="1" style="38" customWidth="1"/>
    <col min="11266" max="11266" width="17.85546875" style="38" customWidth="1"/>
    <col min="11267" max="11270" width="1" style="38" customWidth="1"/>
    <col min="11271" max="11271" width="17.85546875" style="38" customWidth="1"/>
    <col min="11272" max="11273" width="1" style="38" customWidth="1"/>
    <col min="11274" max="11298" width="0" style="38" hidden="1" customWidth="1"/>
    <col min="11299" max="11300" width="1" style="38" customWidth="1"/>
    <col min="11301" max="11301" width="17.85546875" style="38" customWidth="1"/>
    <col min="11302" max="11303" width="1" style="38" customWidth="1"/>
    <col min="11304" max="11333" width="0" style="38" hidden="1" customWidth="1"/>
    <col min="11334" max="11335" width="1" style="38" customWidth="1"/>
    <col min="11336" max="11336" width="17.85546875" style="38" customWidth="1"/>
    <col min="11337" max="11337" width="1" style="38" customWidth="1"/>
    <col min="11338" max="11338" width="2" style="38" customWidth="1"/>
    <col min="11339" max="11339" width="6.42578125" style="38" customWidth="1"/>
    <col min="11340" max="11340" width="17.42578125" style="38" customWidth="1"/>
    <col min="11341" max="11341" width="12.28515625" style="38" customWidth="1"/>
    <col min="11342" max="11450" width="10" style="38"/>
    <col min="11451" max="11451" width="1.85546875" style="38" customWidth="1"/>
    <col min="11452" max="11453" width="1" style="38" customWidth="1"/>
    <col min="11454" max="11454" width="34" style="38" customWidth="1"/>
    <col min="11455" max="11456" width="1" style="38" customWidth="1"/>
    <col min="11457" max="11457" width="17.85546875" style="38" customWidth="1"/>
    <col min="11458" max="11459" width="1" style="38" customWidth="1"/>
    <col min="11460" max="11484" width="0" style="38" hidden="1" customWidth="1"/>
    <col min="11485" max="11486" width="1" style="38" customWidth="1"/>
    <col min="11487" max="11487" width="17.85546875" style="38" customWidth="1"/>
    <col min="11488" max="11489" width="1" style="38" customWidth="1"/>
    <col min="11490" max="11519" width="0" style="38" hidden="1" customWidth="1"/>
    <col min="11520" max="11521" width="1" style="38" customWidth="1"/>
    <col min="11522" max="11522" width="17.85546875" style="38" customWidth="1"/>
    <col min="11523" max="11526" width="1" style="38" customWidth="1"/>
    <col min="11527" max="11527" width="17.85546875" style="38" customWidth="1"/>
    <col min="11528" max="11529" width="1" style="38" customWidth="1"/>
    <col min="11530" max="11554" width="0" style="38" hidden="1" customWidth="1"/>
    <col min="11555" max="11556" width="1" style="38" customWidth="1"/>
    <col min="11557" max="11557" width="17.85546875" style="38" customWidth="1"/>
    <col min="11558" max="11559" width="1" style="38" customWidth="1"/>
    <col min="11560" max="11589" width="0" style="38" hidden="1" customWidth="1"/>
    <col min="11590" max="11591" width="1" style="38" customWidth="1"/>
    <col min="11592" max="11592" width="17.85546875" style="38" customWidth="1"/>
    <col min="11593" max="11593" width="1" style="38" customWidth="1"/>
    <col min="11594" max="11594" width="2" style="38" customWidth="1"/>
    <col min="11595" max="11595" width="6.42578125" style="38" customWidth="1"/>
    <col min="11596" max="11596" width="17.42578125" style="38" customWidth="1"/>
    <col min="11597" max="11597" width="12.28515625" style="38" customWidth="1"/>
    <col min="11598" max="11706" width="10" style="38"/>
    <col min="11707" max="11707" width="1.85546875" style="38" customWidth="1"/>
    <col min="11708" max="11709" width="1" style="38" customWidth="1"/>
    <col min="11710" max="11710" width="34" style="38" customWidth="1"/>
    <col min="11711" max="11712" width="1" style="38" customWidth="1"/>
    <col min="11713" max="11713" width="17.85546875" style="38" customWidth="1"/>
    <col min="11714" max="11715" width="1" style="38" customWidth="1"/>
    <col min="11716" max="11740" width="0" style="38" hidden="1" customWidth="1"/>
    <col min="11741" max="11742" width="1" style="38" customWidth="1"/>
    <col min="11743" max="11743" width="17.85546875" style="38" customWidth="1"/>
    <col min="11744" max="11745" width="1" style="38" customWidth="1"/>
    <col min="11746" max="11775" width="0" style="38" hidden="1" customWidth="1"/>
    <col min="11776" max="11777" width="1" style="38" customWidth="1"/>
    <col min="11778" max="11778" width="17.85546875" style="38" customWidth="1"/>
    <col min="11779" max="11782" width="1" style="38" customWidth="1"/>
    <col min="11783" max="11783" width="17.85546875" style="38" customWidth="1"/>
    <col min="11784" max="11785" width="1" style="38" customWidth="1"/>
    <col min="11786" max="11810" width="0" style="38" hidden="1" customWidth="1"/>
    <col min="11811" max="11812" width="1" style="38" customWidth="1"/>
    <col min="11813" max="11813" width="17.85546875" style="38" customWidth="1"/>
    <col min="11814" max="11815" width="1" style="38" customWidth="1"/>
    <col min="11816" max="11845" width="0" style="38" hidden="1" customWidth="1"/>
    <col min="11846" max="11847" width="1" style="38" customWidth="1"/>
    <col min="11848" max="11848" width="17.85546875" style="38" customWidth="1"/>
    <col min="11849" max="11849" width="1" style="38" customWidth="1"/>
    <col min="11850" max="11850" width="2" style="38" customWidth="1"/>
    <col min="11851" max="11851" width="6.42578125" style="38" customWidth="1"/>
    <col min="11852" max="11852" width="17.42578125" style="38" customWidth="1"/>
    <col min="11853" max="11853" width="12.28515625" style="38" customWidth="1"/>
    <col min="11854" max="11962" width="10" style="38"/>
    <col min="11963" max="11963" width="1.85546875" style="38" customWidth="1"/>
    <col min="11964" max="11965" width="1" style="38" customWidth="1"/>
    <col min="11966" max="11966" width="34" style="38" customWidth="1"/>
    <col min="11967" max="11968" width="1" style="38" customWidth="1"/>
    <col min="11969" max="11969" width="17.85546875" style="38" customWidth="1"/>
    <col min="11970" max="11971" width="1" style="38" customWidth="1"/>
    <col min="11972" max="11996" width="0" style="38" hidden="1" customWidth="1"/>
    <col min="11997" max="11998" width="1" style="38" customWidth="1"/>
    <col min="11999" max="11999" width="17.85546875" style="38" customWidth="1"/>
    <col min="12000" max="12001" width="1" style="38" customWidth="1"/>
    <col min="12002" max="12031" width="0" style="38" hidden="1" customWidth="1"/>
    <col min="12032" max="12033" width="1" style="38" customWidth="1"/>
    <col min="12034" max="12034" width="17.85546875" style="38" customWidth="1"/>
    <col min="12035" max="12038" width="1" style="38" customWidth="1"/>
    <col min="12039" max="12039" width="17.85546875" style="38" customWidth="1"/>
    <col min="12040" max="12041" width="1" style="38" customWidth="1"/>
    <col min="12042" max="12066" width="0" style="38" hidden="1" customWidth="1"/>
    <col min="12067" max="12068" width="1" style="38" customWidth="1"/>
    <col min="12069" max="12069" width="17.85546875" style="38" customWidth="1"/>
    <col min="12070" max="12071" width="1" style="38" customWidth="1"/>
    <col min="12072" max="12101" width="0" style="38" hidden="1" customWidth="1"/>
    <col min="12102" max="12103" width="1" style="38" customWidth="1"/>
    <col min="12104" max="12104" width="17.85546875" style="38" customWidth="1"/>
    <col min="12105" max="12105" width="1" style="38" customWidth="1"/>
    <col min="12106" max="12106" width="2" style="38" customWidth="1"/>
    <col min="12107" max="12107" width="6.42578125" style="38" customWidth="1"/>
    <col min="12108" max="12108" width="17.42578125" style="38" customWidth="1"/>
    <col min="12109" max="12109" width="12.28515625" style="38" customWidth="1"/>
    <col min="12110" max="12218" width="10" style="38"/>
    <col min="12219" max="12219" width="1.85546875" style="38" customWidth="1"/>
    <col min="12220" max="12221" width="1" style="38" customWidth="1"/>
    <col min="12222" max="12222" width="34" style="38" customWidth="1"/>
    <col min="12223" max="12224" width="1" style="38" customWidth="1"/>
    <col min="12225" max="12225" width="17.85546875" style="38" customWidth="1"/>
    <col min="12226" max="12227" width="1" style="38" customWidth="1"/>
    <col min="12228" max="12252" width="0" style="38" hidden="1" customWidth="1"/>
    <col min="12253" max="12254" width="1" style="38" customWidth="1"/>
    <col min="12255" max="12255" width="17.85546875" style="38" customWidth="1"/>
    <col min="12256" max="12257" width="1" style="38" customWidth="1"/>
    <col min="12258" max="12287" width="0" style="38" hidden="1" customWidth="1"/>
    <col min="12288" max="12289" width="1" style="38" customWidth="1"/>
    <col min="12290" max="12290" width="17.85546875" style="38" customWidth="1"/>
    <col min="12291" max="12294" width="1" style="38" customWidth="1"/>
    <col min="12295" max="12295" width="17.85546875" style="38" customWidth="1"/>
    <col min="12296" max="12297" width="1" style="38" customWidth="1"/>
    <col min="12298" max="12322" width="0" style="38" hidden="1" customWidth="1"/>
    <col min="12323" max="12324" width="1" style="38" customWidth="1"/>
    <col min="12325" max="12325" width="17.85546875" style="38" customWidth="1"/>
    <col min="12326" max="12327" width="1" style="38" customWidth="1"/>
    <col min="12328" max="12357" width="0" style="38" hidden="1" customWidth="1"/>
    <col min="12358" max="12359" width="1" style="38" customWidth="1"/>
    <col min="12360" max="12360" width="17.85546875" style="38" customWidth="1"/>
    <col min="12361" max="12361" width="1" style="38" customWidth="1"/>
    <col min="12362" max="12362" width="2" style="38" customWidth="1"/>
    <col min="12363" max="12363" width="6.42578125" style="38" customWidth="1"/>
    <col min="12364" max="12364" width="17.42578125" style="38" customWidth="1"/>
    <col min="12365" max="12365" width="12.28515625" style="38" customWidth="1"/>
    <col min="12366" max="12474" width="10" style="38"/>
    <col min="12475" max="12475" width="1.85546875" style="38" customWidth="1"/>
    <col min="12476" max="12477" width="1" style="38" customWidth="1"/>
    <col min="12478" max="12478" width="34" style="38" customWidth="1"/>
    <col min="12479" max="12480" width="1" style="38" customWidth="1"/>
    <col min="12481" max="12481" width="17.85546875" style="38" customWidth="1"/>
    <col min="12482" max="12483" width="1" style="38" customWidth="1"/>
    <col min="12484" max="12508" width="0" style="38" hidden="1" customWidth="1"/>
    <col min="12509" max="12510" width="1" style="38" customWidth="1"/>
    <col min="12511" max="12511" width="17.85546875" style="38" customWidth="1"/>
    <col min="12512" max="12513" width="1" style="38" customWidth="1"/>
    <col min="12514" max="12543" width="0" style="38" hidden="1" customWidth="1"/>
    <col min="12544" max="12545" width="1" style="38" customWidth="1"/>
    <col min="12546" max="12546" width="17.85546875" style="38" customWidth="1"/>
    <col min="12547" max="12550" width="1" style="38" customWidth="1"/>
    <col min="12551" max="12551" width="17.85546875" style="38" customWidth="1"/>
    <col min="12552" max="12553" width="1" style="38" customWidth="1"/>
    <col min="12554" max="12578" width="0" style="38" hidden="1" customWidth="1"/>
    <col min="12579" max="12580" width="1" style="38" customWidth="1"/>
    <col min="12581" max="12581" width="17.85546875" style="38" customWidth="1"/>
    <col min="12582" max="12583" width="1" style="38" customWidth="1"/>
    <col min="12584" max="12613" width="0" style="38" hidden="1" customWidth="1"/>
    <col min="12614" max="12615" width="1" style="38" customWidth="1"/>
    <col min="12616" max="12616" width="17.85546875" style="38" customWidth="1"/>
    <col min="12617" max="12617" width="1" style="38" customWidth="1"/>
    <col min="12618" max="12618" width="2" style="38" customWidth="1"/>
    <col min="12619" max="12619" width="6.42578125" style="38" customWidth="1"/>
    <col min="12620" max="12620" width="17.42578125" style="38" customWidth="1"/>
    <col min="12621" max="12621" width="12.28515625" style="38" customWidth="1"/>
    <col min="12622" max="12730" width="10" style="38"/>
    <col min="12731" max="12731" width="1.85546875" style="38" customWidth="1"/>
    <col min="12732" max="12733" width="1" style="38" customWidth="1"/>
    <col min="12734" max="12734" width="34" style="38" customWidth="1"/>
    <col min="12735" max="12736" width="1" style="38" customWidth="1"/>
    <col min="12737" max="12737" width="17.85546875" style="38" customWidth="1"/>
    <col min="12738" max="12739" width="1" style="38" customWidth="1"/>
    <col min="12740" max="12764" width="0" style="38" hidden="1" customWidth="1"/>
    <col min="12765" max="12766" width="1" style="38" customWidth="1"/>
    <col min="12767" max="12767" width="17.85546875" style="38" customWidth="1"/>
    <col min="12768" max="12769" width="1" style="38" customWidth="1"/>
    <col min="12770" max="12799" width="0" style="38" hidden="1" customWidth="1"/>
    <col min="12800" max="12801" width="1" style="38" customWidth="1"/>
    <col min="12802" max="12802" width="17.85546875" style="38" customWidth="1"/>
    <col min="12803" max="12806" width="1" style="38" customWidth="1"/>
    <col min="12807" max="12807" width="17.85546875" style="38" customWidth="1"/>
    <col min="12808" max="12809" width="1" style="38" customWidth="1"/>
    <col min="12810" max="12834" width="0" style="38" hidden="1" customWidth="1"/>
    <col min="12835" max="12836" width="1" style="38" customWidth="1"/>
    <col min="12837" max="12837" width="17.85546875" style="38" customWidth="1"/>
    <col min="12838" max="12839" width="1" style="38" customWidth="1"/>
    <col min="12840" max="12869" width="0" style="38" hidden="1" customWidth="1"/>
    <col min="12870" max="12871" width="1" style="38" customWidth="1"/>
    <col min="12872" max="12872" width="17.85546875" style="38" customWidth="1"/>
    <col min="12873" max="12873" width="1" style="38" customWidth="1"/>
    <col min="12874" max="12874" width="2" style="38" customWidth="1"/>
    <col min="12875" max="12875" width="6.42578125" style="38" customWidth="1"/>
    <col min="12876" max="12876" width="17.42578125" style="38" customWidth="1"/>
    <col min="12877" max="12877" width="12.28515625" style="38" customWidth="1"/>
    <col min="12878" max="12986" width="10" style="38"/>
    <col min="12987" max="12987" width="1.85546875" style="38" customWidth="1"/>
    <col min="12988" max="12989" width="1" style="38" customWidth="1"/>
    <col min="12990" max="12990" width="34" style="38" customWidth="1"/>
    <col min="12991" max="12992" width="1" style="38" customWidth="1"/>
    <col min="12993" max="12993" width="17.85546875" style="38" customWidth="1"/>
    <col min="12994" max="12995" width="1" style="38" customWidth="1"/>
    <col min="12996" max="13020" width="0" style="38" hidden="1" customWidth="1"/>
    <col min="13021" max="13022" width="1" style="38" customWidth="1"/>
    <col min="13023" max="13023" width="17.85546875" style="38" customWidth="1"/>
    <col min="13024" max="13025" width="1" style="38" customWidth="1"/>
    <col min="13026" max="13055" width="0" style="38" hidden="1" customWidth="1"/>
    <col min="13056" max="13057" width="1" style="38" customWidth="1"/>
    <col min="13058" max="13058" width="17.85546875" style="38" customWidth="1"/>
    <col min="13059" max="13062" width="1" style="38" customWidth="1"/>
    <col min="13063" max="13063" width="17.85546875" style="38" customWidth="1"/>
    <col min="13064" max="13065" width="1" style="38" customWidth="1"/>
    <col min="13066" max="13090" width="0" style="38" hidden="1" customWidth="1"/>
    <col min="13091" max="13092" width="1" style="38" customWidth="1"/>
    <col min="13093" max="13093" width="17.85546875" style="38" customWidth="1"/>
    <col min="13094" max="13095" width="1" style="38" customWidth="1"/>
    <col min="13096" max="13125" width="0" style="38" hidden="1" customWidth="1"/>
    <col min="13126" max="13127" width="1" style="38" customWidth="1"/>
    <col min="13128" max="13128" width="17.85546875" style="38" customWidth="1"/>
    <col min="13129" max="13129" width="1" style="38" customWidth="1"/>
    <col min="13130" max="13130" width="2" style="38" customWidth="1"/>
    <col min="13131" max="13131" width="6.42578125" style="38" customWidth="1"/>
    <col min="13132" max="13132" width="17.42578125" style="38" customWidth="1"/>
    <col min="13133" max="13133" width="12.28515625" style="38" customWidth="1"/>
    <col min="13134" max="13242" width="10" style="38"/>
    <col min="13243" max="13243" width="1.85546875" style="38" customWidth="1"/>
    <col min="13244" max="13245" width="1" style="38" customWidth="1"/>
    <col min="13246" max="13246" width="34" style="38" customWidth="1"/>
    <col min="13247" max="13248" width="1" style="38" customWidth="1"/>
    <col min="13249" max="13249" width="17.85546875" style="38" customWidth="1"/>
    <col min="13250" max="13251" width="1" style="38" customWidth="1"/>
    <col min="13252" max="13276" width="0" style="38" hidden="1" customWidth="1"/>
    <col min="13277" max="13278" width="1" style="38" customWidth="1"/>
    <col min="13279" max="13279" width="17.85546875" style="38" customWidth="1"/>
    <col min="13280" max="13281" width="1" style="38" customWidth="1"/>
    <col min="13282" max="13311" width="0" style="38" hidden="1" customWidth="1"/>
    <col min="13312" max="13313" width="1" style="38" customWidth="1"/>
    <col min="13314" max="13314" width="17.85546875" style="38" customWidth="1"/>
    <col min="13315" max="13318" width="1" style="38" customWidth="1"/>
    <col min="13319" max="13319" width="17.85546875" style="38" customWidth="1"/>
    <col min="13320" max="13321" width="1" style="38" customWidth="1"/>
    <col min="13322" max="13346" width="0" style="38" hidden="1" customWidth="1"/>
    <col min="13347" max="13348" width="1" style="38" customWidth="1"/>
    <col min="13349" max="13349" width="17.85546875" style="38" customWidth="1"/>
    <col min="13350" max="13351" width="1" style="38" customWidth="1"/>
    <col min="13352" max="13381" width="0" style="38" hidden="1" customWidth="1"/>
    <col min="13382" max="13383" width="1" style="38" customWidth="1"/>
    <col min="13384" max="13384" width="17.85546875" style="38" customWidth="1"/>
    <col min="13385" max="13385" width="1" style="38" customWidth="1"/>
    <col min="13386" max="13386" width="2" style="38" customWidth="1"/>
    <col min="13387" max="13387" width="6.42578125" style="38" customWidth="1"/>
    <col min="13388" max="13388" width="17.42578125" style="38" customWidth="1"/>
    <col min="13389" max="13389" width="12.28515625" style="38" customWidth="1"/>
    <col min="13390" max="13498" width="10" style="38"/>
    <col min="13499" max="13499" width="1.85546875" style="38" customWidth="1"/>
    <col min="13500" max="13501" width="1" style="38" customWidth="1"/>
    <col min="13502" max="13502" width="34" style="38" customWidth="1"/>
    <col min="13503" max="13504" width="1" style="38" customWidth="1"/>
    <col min="13505" max="13505" width="17.85546875" style="38" customWidth="1"/>
    <col min="13506" max="13507" width="1" style="38" customWidth="1"/>
    <col min="13508" max="13532" width="0" style="38" hidden="1" customWidth="1"/>
    <col min="13533" max="13534" width="1" style="38" customWidth="1"/>
    <col min="13535" max="13535" width="17.85546875" style="38" customWidth="1"/>
    <col min="13536" max="13537" width="1" style="38" customWidth="1"/>
    <col min="13538" max="13567" width="0" style="38" hidden="1" customWidth="1"/>
    <col min="13568" max="13569" width="1" style="38" customWidth="1"/>
    <col min="13570" max="13570" width="17.85546875" style="38" customWidth="1"/>
    <col min="13571" max="13574" width="1" style="38" customWidth="1"/>
    <col min="13575" max="13575" width="17.85546875" style="38" customWidth="1"/>
    <col min="13576" max="13577" width="1" style="38" customWidth="1"/>
    <col min="13578" max="13602" width="0" style="38" hidden="1" customWidth="1"/>
    <col min="13603" max="13604" width="1" style="38" customWidth="1"/>
    <col min="13605" max="13605" width="17.85546875" style="38" customWidth="1"/>
    <col min="13606" max="13607" width="1" style="38" customWidth="1"/>
    <col min="13608" max="13637" width="0" style="38" hidden="1" customWidth="1"/>
    <col min="13638" max="13639" width="1" style="38" customWidth="1"/>
    <col min="13640" max="13640" width="17.85546875" style="38" customWidth="1"/>
    <col min="13641" max="13641" width="1" style="38" customWidth="1"/>
    <col min="13642" max="13642" width="2" style="38" customWidth="1"/>
    <col min="13643" max="13643" width="6.42578125" style="38" customWidth="1"/>
    <col min="13644" max="13644" width="17.42578125" style="38" customWidth="1"/>
    <col min="13645" max="13645" width="12.28515625" style="38" customWidth="1"/>
    <col min="13646" max="13754" width="10" style="38"/>
    <col min="13755" max="13755" width="1.85546875" style="38" customWidth="1"/>
    <col min="13756" max="13757" width="1" style="38" customWidth="1"/>
    <col min="13758" max="13758" width="34" style="38" customWidth="1"/>
    <col min="13759" max="13760" width="1" style="38" customWidth="1"/>
    <col min="13761" max="13761" width="17.85546875" style="38" customWidth="1"/>
    <col min="13762" max="13763" width="1" style="38" customWidth="1"/>
    <col min="13764" max="13788" width="0" style="38" hidden="1" customWidth="1"/>
    <col min="13789" max="13790" width="1" style="38" customWidth="1"/>
    <col min="13791" max="13791" width="17.85546875" style="38" customWidth="1"/>
    <col min="13792" max="13793" width="1" style="38" customWidth="1"/>
    <col min="13794" max="13823" width="0" style="38" hidden="1" customWidth="1"/>
    <col min="13824" max="13825" width="1" style="38" customWidth="1"/>
    <col min="13826" max="13826" width="17.85546875" style="38" customWidth="1"/>
    <col min="13827" max="13830" width="1" style="38" customWidth="1"/>
    <col min="13831" max="13831" width="17.85546875" style="38" customWidth="1"/>
    <col min="13832" max="13833" width="1" style="38" customWidth="1"/>
    <col min="13834" max="13858" width="0" style="38" hidden="1" customWidth="1"/>
    <col min="13859" max="13860" width="1" style="38" customWidth="1"/>
    <col min="13861" max="13861" width="17.85546875" style="38" customWidth="1"/>
    <col min="13862" max="13863" width="1" style="38" customWidth="1"/>
    <col min="13864" max="13893" width="0" style="38" hidden="1" customWidth="1"/>
    <col min="13894" max="13895" width="1" style="38" customWidth="1"/>
    <col min="13896" max="13896" width="17.85546875" style="38" customWidth="1"/>
    <col min="13897" max="13897" width="1" style="38" customWidth="1"/>
    <col min="13898" max="13898" width="2" style="38" customWidth="1"/>
    <col min="13899" max="13899" width="6.42578125" style="38" customWidth="1"/>
    <col min="13900" max="13900" width="17.42578125" style="38" customWidth="1"/>
    <col min="13901" max="13901" width="12.28515625" style="38" customWidth="1"/>
    <col min="13902" max="14010" width="10" style="38"/>
    <col min="14011" max="14011" width="1.85546875" style="38" customWidth="1"/>
    <col min="14012" max="14013" width="1" style="38" customWidth="1"/>
    <col min="14014" max="14014" width="34" style="38" customWidth="1"/>
    <col min="14015" max="14016" width="1" style="38" customWidth="1"/>
    <col min="14017" max="14017" width="17.85546875" style="38" customWidth="1"/>
    <col min="14018" max="14019" width="1" style="38" customWidth="1"/>
    <col min="14020" max="14044" width="0" style="38" hidden="1" customWidth="1"/>
    <col min="14045" max="14046" width="1" style="38" customWidth="1"/>
    <col min="14047" max="14047" width="17.85546875" style="38" customWidth="1"/>
    <col min="14048" max="14049" width="1" style="38" customWidth="1"/>
    <col min="14050" max="14079" width="0" style="38" hidden="1" customWidth="1"/>
    <col min="14080" max="14081" width="1" style="38" customWidth="1"/>
    <col min="14082" max="14082" width="17.85546875" style="38" customWidth="1"/>
    <col min="14083" max="14086" width="1" style="38" customWidth="1"/>
    <col min="14087" max="14087" width="17.85546875" style="38" customWidth="1"/>
    <col min="14088" max="14089" width="1" style="38" customWidth="1"/>
    <col min="14090" max="14114" width="0" style="38" hidden="1" customWidth="1"/>
    <col min="14115" max="14116" width="1" style="38" customWidth="1"/>
    <col min="14117" max="14117" width="17.85546875" style="38" customWidth="1"/>
    <col min="14118" max="14119" width="1" style="38" customWidth="1"/>
    <col min="14120" max="14149" width="0" style="38" hidden="1" customWidth="1"/>
    <col min="14150" max="14151" width="1" style="38" customWidth="1"/>
    <col min="14152" max="14152" width="17.85546875" style="38" customWidth="1"/>
    <col min="14153" max="14153" width="1" style="38" customWidth="1"/>
    <col min="14154" max="14154" width="2" style="38" customWidth="1"/>
    <col min="14155" max="14155" width="6.42578125" style="38" customWidth="1"/>
    <col min="14156" max="14156" width="17.42578125" style="38" customWidth="1"/>
    <col min="14157" max="14157" width="12.28515625" style="38" customWidth="1"/>
    <col min="14158" max="14266" width="10" style="38"/>
    <col min="14267" max="14267" width="1.85546875" style="38" customWidth="1"/>
    <col min="14268" max="14269" width="1" style="38" customWidth="1"/>
    <col min="14270" max="14270" width="34" style="38" customWidth="1"/>
    <col min="14271" max="14272" width="1" style="38" customWidth="1"/>
    <col min="14273" max="14273" width="17.85546875" style="38" customWidth="1"/>
    <col min="14274" max="14275" width="1" style="38" customWidth="1"/>
    <col min="14276" max="14300" width="0" style="38" hidden="1" customWidth="1"/>
    <col min="14301" max="14302" width="1" style="38" customWidth="1"/>
    <col min="14303" max="14303" width="17.85546875" style="38" customWidth="1"/>
    <col min="14304" max="14305" width="1" style="38" customWidth="1"/>
    <col min="14306" max="14335" width="0" style="38" hidden="1" customWidth="1"/>
    <col min="14336" max="14337" width="1" style="38" customWidth="1"/>
    <col min="14338" max="14338" width="17.85546875" style="38" customWidth="1"/>
    <col min="14339" max="14342" width="1" style="38" customWidth="1"/>
    <col min="14343" max="14343" width="17.85546875" style="38" customWidth="1"/>
    <col min="14344" max="14345" width="1" style="38" customWidth="1"/>
    <col min="14346" max="14370" width="0" style="38" hidden="1" customWidth="1"/>
    <col min="14371" max="14372" width="1" style="38" customWidth="1"/>
    <col min="14373" max="14373" width="17.85546875" style="38" customWidth="1"/>
    <col min="14374" max="14375" width="1" style="38" customWidth="1"/>
    <col min="14376" max="14405" width="0" style="38" hidden="1" customWidth="1"/>
    <col min="14406" max="14407" width="1" style="38" customWidth="1"/>
    <col min="14408" max="14408" width="17.85546875" style="38" customWidth="1"/>
    <col min="14409" max="14409" width="1" style="38" customWidth="1"/>
    <col min="14410" max="14410" width="2" style="38" customWidth="1"/>
    <col min="14411" max="14411" width="6.42578125" style="38" customWidth="1"/>
    <col min="14412" max="14412" width="17.42578125" style="38" customWidth="1"/>
    <col min="14413" max="14413" width="12.28515625" style="38" customWidth="1"/>
    <col min="14414" max="14522" width="10" style="38"/>
    <col min="14523" max="14523" width="1.85546875" style="38" customWidth="1"/>
    <col min="14524" max="14525" width="1" style="38" customWidth="1"/>
    <col min="14526" max="14526" width="34" style="38" customWidth="1"/>
    <col min="14527" max="14528" width="1" style="38" customWidth="1"/>
    <col min="14529" max="14529" width="17.85546875" style="38" customWidth="1"/>
    <col min="14530" max="14531" width="1" style="38" customWidth="1"/>
    <col min="14532" max="14556" width="0" style="38" hidden="1" customWidth="1"/>
    <col min="14557" max="14558" width="1" style="38" customWidth="1"/>
    <col min="14559" max="14559" width="17.85546875" style="38" customWidth="1"/>
    <col min="14560" max="14561" width="1" style="38" customWidth="1"/>
    <col min="14562" max="14591" width="0" style="38" hidden="1" customWidth="1"/>
    <col min="14592" max="14593" width="1" style="38" customWidth="1"/>
    <col min="14594" max="14594" width="17.85546875" style="38" customWidth="1"/>
    <col min="14595" max="14598" width="1" style="38" customWidth="1"/>
    <col min="14599" max="14599" width="17.85546875" style="38" customWidth="1"/>
    <col min="14600" max="14601" width="1" style="38" customWidth="1"/>
    <col min="14602" max="14626" width="0" style="38" hidden="1" customWidth="1"/>
    <col min="14627" max="14628" width="1" style="38" customWidth="1"/>
    <col min="14629" max="14629" width="17.85546875" style="38" customWidth="1"/>
    <col min="14630" max="14631" width="1" style="38" customWidth="1"/>
    <col min="14632" max="14661" width="0" style="38" hidden="1" customWidth="1"/>
    <col min="14662" max="14663" width="1" style="38" customWidth="1"/>
    <col min="14664" max="14664" width="17.85546875" style="38" customWidth="1"/>
    <col min="14665" max="14665" width="1" style="38" customWidth="1"/>
    <col min="14666" max="14666" width="2" style="38" customWidth="1"/>
    <col min="14667" max="14667" width="6.42578125" style="38" customWidth="1"/>
    <col min="14668" max="14668" width="17.42578125" style="38" customWidth="1"/>
    <col min="14669" max="14669" width="12.28515625" style="38" customWidth="1"/>
    <col min="14670" max="14778" width="10" style="38"/>
    <col min="14779" max="14779" width="1.85546875" style="38" customWidth="1"/>
    <col min="14780" max="14781" width="1" style="38" customWidth="1"/>
    <col min="14782" max="14782" width="34" style="38" customWidth="1"/>
    <col min="14783" max="14784" width="1" style="38" customWidth="1"/>
    <col min="14785" max="14785" width="17.85546875" style="38" customWidth="1"/>
    <col min="14786" max="14787" width="1" style="38" customWidth="1"/>
    <col min="14788" max="14812" width="0" style="38" hidden="1" customWidth="1"/>
    <col min="14813" max="14814" width="1" style="38" customWidth="1"/>
    <col min="14815" max="14815" width="17.85546875" style="38" customWidth="1"/>
    <col min="14816" max="14817" width="1" style="38" customWidth="1"/>
    <col min="14818" max="14847" width="0" style="38" hidden="1" customWidth="1"/>
    <col min="14848" max="14849" width="1" style="38" customWidth="1"/>
    <col min="14850" max="14850" width="17.85546875" style="38" customWidth="1"/>
    <col min="14851" max="14854" width="1" style="38" customWidth="1"/>
    <col min="14855" max="14855" width="17.85546875" style="38" customWidth="1"/>
    <col min="14856" max="14857" width="1" style="38" customWidth="1"/>
    <col min="14858" max="14882" width="0" style="38" hidden="1" customWidth="1"/>
    <col min="14883" max="14884" width="1" style="38" customWidth="1"/>
    <col min="14885" max="14885" width="17.85546875" style="38" customWidth="1"/>
    <col min="14886" max="14887" width="1" style="38" customWidth="1"/>
    <col min="14888" max="14917" width="0" style="38" hidden="1" customWidth="1"/>
    <col min="14918" max="14919" width="1" style="38" customWidth="1"/>
    <col min="14920" max="14920" width="17.85546875" style="38" customWidth="1"/>
    <col min="14921" max="14921" width="1" style="38" customWidth="1"/>
    <col min="14922" max="14922" width="2" style="38" customWidth="1"/>
    <col min="14923" max="14923" width="6.42578125" style="38" customWidth="1"/>
    <col min="14924" max="14924" width="17.42578125" style="38" customWidth="1"/>
    <col min="14925" max="14925" width="12.28515625" style="38" customWidth="1"/>
    <col min="14926" max="15034" width="10" style="38"/>
    <col min="15035" max="15035" width="1.85546875" style="38" customWidth="1"/>
    <col min="15036" max="15037" width="1" style="38" customWidth="1"/>
    <col min="15038" max="15038" width="34" style="38" customWidth="1"/>
    <col min="15039" max="15040" width="1" style="38" customWidth="1"/>
    <col min="15041" max="15041" width="17.85546875" style="38" customWidth="1"/>
    <col min="15042" max="15043" width="1" style="38" customWidth="1"/>
    <col min="15044" max="15068" width="0" style="38" hidden="1" customWidth="1"/>
    <col min="15069" max="15070" width="1" style="38" customWidth="1"/>
    <col min="15071" max="15071" width="17.85546875" style="38" customWidth="1"/>
    <col min="15072" max="15073" width="1" style="38" customWidth="1"/>
    <col min="15074" max="15103" width="0" style="38" hidden="1" customWidth="1"/>
    <col min="15104" max="15105" width="1" style="38" customWidth="1"/>
    <col min="15106" max="15106" width="17.85546875" style="38" customWidth="1"/>
    <col min="15107" max="15110" width="1" style="38" customWidth="1"/>
    <col min="15111" max="15111" width="17.85546875" style="38" customWidth="1"/>
    <col min="15112" max="15113" width="1" style="38" customWidth="1"/>
    <col min="15114" max="15138" width="0" style="38" hidden="1" customWidth="1"/>
    <col min="15139" max="15140" width="1" style="38" customWidth="1"/>
    <col min="15141" max="15141" width="17.85546875" style="38" customWidth="1"/>
    <col min="15142" max="15143" width="1" style="38" customWidth="1"/>
    <col min="15144" max="15173" width="0" style="38" hidden="1" customWidth="1"/>
    <col min="15174" max="15175" width="1" style="38" customWidth="1"/>
    <col min="15176" max="15176" width="17.85546875" style="38" customWidth="1"/>
    <col min="15177" max="15177" width="1" style="38" customWidth="1"/>
    <col min="15178" max="15178" width="2" style="38" customWidth="1"/>
    <col min="15179" max="15179" width="6.42578125" style="38" customWidth="1"/>
    <col min="15180" max="15180" width="17.42578125" style="38" customWidth="1"/>
    <col min="15181" max="15181" width="12.28515625" style="38" customWidth="1"/>
    <col min="15182" max="15290" width="10" style="38"/>
    <col min="15291" max="15291" width="1.85546875" style="38" customWidth="1"/>
    <col min="15292" max="15293" width="1" style="38" customWidth="1"/>
    <col min="15294" max="15294" width="34" style="38" customWidth="1"/>
    <col min="15295" max="15296" width="1" style="38" customWidth="1"/>
    <col min="15297" max="15297" width="17.85546875" style="38" customWidth="1"/>
    <col min="15298" max="15299" width="1" style="38" customWidth="1"/>
    <col min="15300" max="15324" width="0" style="38" hidden="1" customWidth="1"/>
    <col min="15325" max="15326" width="1" style="38" customWidth="1"/>
    <col min="15327" max="15327" width="17.85546875" style="38" customWidth="1"/>
    <col min="15328" max="15329" width="1" style="38" customWidth="1"/>
    <col min="15330" max="15359" width="0" style="38" hidden="1" customWidth="1"/>
    <col min="15360" max="15361" width="1" style="38" customWidth="1"/>
    <col min="15362" max="15362" width="17.85546875" style="38" customWidth="1"/>
    <col min="15363" max="15366" width="1" style="38" customWidth="1"/>
    <col min="15367" max="15367" width="17.85546875" style="38" customWidth="1"/>
    <col min="15368" max="15369" width="1" style="38" customWidth="1"/>
    <col min="15370" max="15394" width="0" style="38" hidden="1" customWidth="1"/>
    <col min="15395" max="15396" width="1" style="38" customWidth="1"/>
    <col min="15397" max="15397" width="17.85546875" style="38" customWidth="1"/>
    <col min="15398" max="15399" width="1" style="38" customWidth="1"/>
    <col min="15400" max="15429" width="0" style="38" hidden="1" customWidth="1"/>
    <col min="15430" max="15431" width="1" style="38" customWidth="1"/>
    <col min="15432" max="15432" width="17.85546875" style="38" customWidth="1"/>
    <col min="15433" max="15433" width="1" style="38" customWidth="1"/>
    <col min="15434" max="15434" width="2" style="38" customWidth="1"/>
    <col min="15435" max="15435" width="6.42578125" style="38" customWidth="1"/>
    <col min="15436" max="15436" width="17.42578125" style="38" customWidth="1"/>
    <col min="15437" max="15437" width="12.28515625" style="38" customWidth="1"/>
    <col min="15438" max="15546" width="10" style="38"/>
    <col min="15547" max="15547" width="1.85546875" style="38" customWidth="1"/>
    <col min="15548" max="15549" width="1" style="38" customWidth="1"/>
    <col min="15550" max="15550" width="34" style="38" customWidth="1"/>
    <col min="15551" max="15552" width="1" style="38" customWidth="1"/>
    <col min="15553" max="15553" width="17.85546875" style="38" customWidth="1"/>
    <col min="15554" max="15555" width="1" style="38" customWidth="1"/>
    <col min="15556" max="15580" width="0" style="38" hidden="1" customWidth="1"/>
    <col min="15581" max="15582" width="1" style="38" customWidth="1"/>
    <col min="15583" max="15583" width="17.85546875" style="38" customWidth="1"/>
    <col min="15584" max="15585" width="1" style="38" customWidth="1"/>
    <col min="15586" max="15615" width="0" style="38" hidden="1" customWidth="1"/>
    <col min="15616" max="15617" width="1" style="38" customWidth="1"/>
    <col min="15618" max="15618" width="17.85546875" style="38" customWidth="1"/>
    <col min="15619" max="15622" width="1" style="38" customWidth="1"/>
    <col min="15623" max="15623" width="17.85546875" style="38" customWidth="1"/>
    <col min="15624" max="15625" width="1" style="38" customWidth="1"/>
    <col min="15626" max="15650" width="0" style="38" hidden="1" customWidth="1"/>
    <col min="15651" max="15652" width="1" style="38" customWidth="1"/>
    <col min="15653" max="15653" width="17.85546875" style="38" customWidth="1"/>
    <col min="15654" max="15655" width="1" style="38" customWidth="1"/>
    <col min="15656" max="15685" width="0" style="38" hidden="1" customWidth="1"/>
    <col min="15686" max="15687" width="1" style="38" customWidth="1"/>
    <col min="15688" max="15688" width="17.85546875" style="38" customWidth="1"/>
    <col min="15689" max="15689" width="1" style="38" customWidth="1"/>
    <col min="15690" max="15690" width="2" style="38" customWidth="1"/>
    <col min="15691" max="15691" width="6.42578125" style="38" customWidth="1"/>
    <col min="15692" max="15692" width="17.42578125" style="38" customWidth="1"/>
    <col min="15693" max="15693" width="12.28515625" style="38" customWidth="1"/>
    <col min="15694" max="15802" width="10" style="38"/>
    <col min="15803" max="15803" width="1.85546875" style="38" customWidth="1"/>
    <col min="15804" max="15805" width="1" style="38" customWidth="1"/>
    <col min="15806" max="15806" width="34" style="38" customWidth="1"/>
    <col min="15807" max="15808" width="1" style="38" customWidth="1"/>
    <col min="15809" max="15809" width="17.85546875" style="38" customWidth="1"/>
    <col min="15810" max="15811" width="1" style="38" customWidth="1"/>
    <col min="15812" max="15836" width="0" style="38" hidden="1" customWidth="1"/>
    <col min="15837" max="15838" width="1" style="38" customWidth="1"/>
    <col min="15839" max="15839" width="17.85546875" style="38" customWidth="1"/>
    <col min="15840" max="15841" width="1" style="38" customWidth="1"/>
    <col min="15842" max="15871" width="0" style="38" hidden="1" customWidth="1"/>
    <col min="15872" max="15873" width="1" style="38" customWidth="1"/>
    <col min="15874" max="15874" width="17.85546875" style="38" customWidth="1"/>
    <col min="15875" max="15878" width="1" style="38" customWidth="1"/>
    <col min="15879" max="15879" width="17.85546875" style="38" customWidth="1"/>
    <col min="15880" max="15881" width="1" style="38" customWidth="1"/>
    <col min="15882" max="15906" width="0" style="38" hidden="1" customWidth="1"/>
    <col min="15907" max="15908" width="1" style="38" customWidth="1"/>
    <col min="15909" max="15909" width="17.85546875" style="38" customWidth="1"/>
    <col min="15910" max="15911" width="1" style="38" customWidth="1"/>
    <col min="15912" max="15941" width="0" style="38" hidden="1" customWidth="1"/>
    <col min="15942" max="15943" width="1" style="38" customWidth="1"/>
    <col min="15944" max="15944" width="17.85546875" style="38" customWidth="1"/>
    <col min="15945" max="15945" width="1" style="38" customWidth="1"/>
    <col min="15946" max="15946" width="2" style="38" customWidth="1"/>
    <col min="15947" max="15947" width="6.42578125" style="38" customWidth="1"/>
    <col min="15948" max="15948" width="17.42578125" style="38" customWidth="1"/>
    <col min="15949" max="15949" width="12.28515625" style="38" customWidth="1"/>
    <col min="15950" max="16058" width="10" style="38"/>
    <col min="16059" max="16059" width="1.85546875" style="38" customWidth="1"/>
    <col min="16060" max="16061" width="1" style="38" customWidth="1"/>
    <col min="16062" max="16062" width="34" style="38" customWidth="1"/>
    <col min="16063" max="16064" width="1" style="38" customWidth="1"/>
    <col min="16065" max="16065" width="17.85546875" style="38" customWidth="1"/>
    <col min="16066" max="16067" width="1" style="38" customWidth="1"/>
    <col min="16068" max="16092" width="0" style="38" hidden="1" customWidth="1"/>
    <col min="16093" max="16094" width="1" style="38" customWidth="1"/>
    <col min="16095" max="16095" width="17.85546875" style="38" customWidth="1"/>
    <col min="16096" max="16097" width="1" style="38" customWidth="1"/>
    <col min="16098" max="16127" width="0" style="38" hidden="1" customWidth="1"/>
    <col min="16128" max="16129" width="1" style="38" customWidth="1"/>
    <col min="16130" max="16130" width="17.85546875" style="38" customWidth="1"/>
    <col min="16131" max="16134" width="1" style="38" customWidth="1"/>
    <col min="16135" max="16135" width="17.85546875" style="38" customWidth="1"/>
    <col min="16136" max="16137" width="1" style="38" customWidth="1"/>
    <col min="16138" max="16162" width="0" style="38" hidden="1" customWidth="1"/>
    <col min="16163" max="16164" width="1" style="38" customWidth="1"/>
    <col min="16165" max="16165" width="17.85546875" style="38" customWidth="1"/>
    <col min="16166" max="16167" width="1" style="38" customWidth="1"/>
    <col min="16168" max="16197" width="0" style="38" hidden="1" customWidth="1"/>
    <col min="16198" max="16199" width="1" style="38" customWidth="1"/>
    <col min="16200" max="16200" width="17.85546875" style="38" customWidth="1"/>
    <col min="16201" max="16201" width="1" style="38" customWidth="1"/>
    <col min="16202" max="16202" width="2" style="38" customWidth="1"/>
    <col min="16203" max="16203" width="6.42578125" style="38" customWidth="1"/>
    <col min="16204" max="16204" width="17.42578125" style="38" customWidth="1"/>
    <col min="16205" max="16205" width="12.28515625" style="38" customWidth="1"/>
    <col min="16206" max="16384" width="10" style="38"/>
  </cols>
  <sheetData>
    <row r="1" spans="1:77" x14ac:dyDescent="0.2">
      <c r="B1" s="377"/>
      <c r="C1" s="377"/>
      <c r="D1" s="377"/>
      <c r="E1" s="377"/>
      <c r="F1" s="377"/>
      <c r="G1" s="377"/>
      <c r="H1" s="377"/>
      <c r="I1" s="377"/>
      <c r="J1" s="377"/>
      <c r="K1" s="377"/>
      <c r="L1" s="377"/>
      <c r="M1" s="377">
        <f>1770000000+11234076861+1105000000</f>
        <v>14109076861</v>
      </c>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row>
    <row r="2" spans="1:77" ht="5.25"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row>
    <row r="3" spans="1:77" x14ac:dyDescent="0.2">
      <c r="A3" s="377"/>
      <c r="B3" s="377"/>
      <c r="D3" s="377"/>
    </row>
    <row r="4" spans="1:77" x14ac:dyDescent="0.2">
      <c r="A4" s="377"/>
      <c r="B4" s="377"/>
      <c r="D4" s="410"/>
      <c r="E4" s="410"/>
      <c r="F4" s="410"/>
    </row>
    <row r="5" spans="1:77" x14ac:dyDescent="0.2">
      <c r="A5" s="377"/>
      <c r="B5" s="377"/>
    </row>
    <row r="6" spans="1:77" x14ac:dyDescent="0.2">
      <c r="A6" s="377"/>
      <c r="B6" s="377"/>
    </row>
    <row r="7" spans="1:77" ht="15.75" x14ac:dyDescent="0.25">
      <c r="A7" s="377"/>
      <c r="B7" s="377"/>
      <c r="D7" s="537" t="s">
        <v>445</v>
      </c>
      <c r="E7" s="447"/>
      <c r="F7" s="447"/>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377"/>
    </row>
    <row r="8" spans="1:77" ht="15" customHeight="1" x14ac:dyDescent="0.2">
      <c r="A8" s="377"/>
      <c r="B8" s="377"/>
      <c r="D8" s="538"/>
      <c r="E8" s="478"/>
      <c r="F8" s="462"/>
      <c r="G8" s="727" t="str">
        <f>[18]summary!H8</f>
        <v>2020/21</v>
      </c>
      <c r="H8" s="727"/>
      <c r="I8" s="727"/>
      <c r="J8" s="727"/>
      <c r="K8" s="727"/>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28"/>
      <c r="BQ8" s="728"/>
      <c r="BR8" s="728"/>
      <c r="BS8" s="728"/>
      <c r="BT8" s="728"/>
      <c r="BU8" s="393"/>
      <c r="BV8" s="390"/>
      <c r="BW8" s="465"/>
    </row>
    <row r="9" spans="1:77" ht="18" customHeight="1" x14ac:dyDescent="0.2">
      <c r="A9" s="377"/>
      <c r="B9" s="377"/>
      <c r="D9" s="465"/>
      <c r="E9" s="417"/>
      <c r="F9" s="377"/>
      <c r="G9" s="137" t="str">
        <f>[18]domlongtermissues!G9</f>
        <v>Revised</v>
      </c>
      <c r="H9" s="137"/>
      <c r="I9" s="137"/>
      <c r="J9" s="153"/>
      <c r="K9" s="137"/>
      <c r="L9" s="137" t="s">
        <v>6</v>
      </c>
      <c r="M9" s="137"/>
      <c r="N9" s="137"/>
      <c r="O9" s="153"/>
      <c r="P9" s="137"/>
      <c r="Q9" s="137" t="s">
        <v>7</v>
      </c>
      <c r="R9" s="137"/>
      <c r="S9" s="137"/>
      <c r="T9" s="153"/>
      <c r="U9" s="137"/>
      <c r="V9" s="137" t="s">
        <v>8</v>
      </c>
      <c r="W9" s="137"/>
      <c r="X9" s="137"/>
      <c r="Y9" s="153"/>
      <c r="Z9" s="137"/>
      <c r="AA9" s="137" t="s">
        <v>9</v>
      </c>
      <c r="AB9" s="137"/>
      <c r="AC9" s="137"/>
      <c r="AD9" s="153"/>
      <c r="AE9" s="137"/>
      <c r="AF9" s="137" t="s">
        <v>10</v>
      </c>
      <c r="AG9" s="137"/>
      <c r="AH9" s="137"/>
      <c r="AI9" s="153"/>
      <c r="AJ9" s="137"/>
      <c r="AK9" s="137" t="s">
        <v>11</v>
      </c>
      <c r="AL9" s="137"/>
      <c r="AM9" s="137"/>
      <c r="AN9" s="153"/>
      <c r="AO9" s="137"/>
      <c r="AP9" s="137" t="s">
        <v>12</v>
      </c>
      <c r="AQ9" s="137"/>
      <c r="AR9" s="137"/>
      <c r="AS9" s="153"/>
      <c r="AT9" s="137"/>
      <c r="AU9" s="137" t="s">
        <v>13</v>
      </c>
      <c r="AV9" s="137"/>
      <c r="AW9" s="137"/>
      <c r="AX9" s="153"/>
      <c r="AY9" s="137"/>
      <c r="AZ9" s="137" t="s">
        <v>14</v>
      </c>
      <c r="BA9" s="137"/>
      <c r="BB9" s="137"/>
      <c r="BC9" s="153"/>
      <c r="BD9" s="137"/>
      <c r="BE9" s="137" t="s">
        <v>15</v>
      </c>
      <c r="BF9" s="137"/>
      <c r="BG9" s="137"/>
      <c r="BH9" s="153"/>
      <c r="BI9" s="137"/>
      <c r="BJ9" s="137" t="s">
        <v>16</v>
      </c>
      <c r="BK9" s="137"/>
      <c r="BL9" s="137"/>
      <c r="BM9" s="153"/>
      <c r="BN9" s="137"/>
      <c r="BO9" s="137" t="s">
        <v>17</v>
      </c>
      <c r="BP9" s="137"/>
      <c r="BQ9" s="137"/>
      <c r="BR9" s="153"/>
      <c r="BS9" s="137"/>
      <c r="BT9" s="137" t="s">
        <v>18</v>
      </c>
      <c r="BU9" s="137"/>
      <c r="BV9" s="230"/>
      <c r="BW9" s="465"/>
    </row>
    <row r="10" spans="1:77" x14ac:dyDescent="0.2">
      <c r="A10" s="377"/>
      <c r="B10" s="377"/>
      <c r="D10" s="459" t="s">
        <v>20</v>
      </c>
      <c r="E10" s="516"/>
      <c r="F10" s="517"/>
      <c r="G10" s="208" t="s">
        <v>22</v>
      </c>
      <c r="H10" s="208"/>
      <c r="I10" s="208"/>
      <c r="J10" s="463"/>
      <c r="K10" s="208"/>
      <c r="L10" s="208"/>
      <c r="M10" s="208"/>
      <c r="N10" s="208"/>
      <c r="O10" s="463"/>
      <c r="P10" s="208"/>
      <c r="Q10" s="208"/>
      <c r="R10" s="208"/>
      <c r="S10" s="208"/>
      <c r="T10" s="463"/>
      <c r="U10" s="208"/>
      <c r="V10" s="208"/>
      <c r="W10" s="208"/>
      <c r="X10" s="208"/>
      <c r="Y10" s="463"/>
      <c r="Z10" s="208"/>
      <c r="AA10" s="208"/>
      <c r="AB10" s="208"/>
      <c r="AC10" s="208"/>
      <c r="AD10" s="463"/>
      <c r="AE10" s="208"/>
      <c r="AF10" s="208"/>
      <c r="AG10" s="208"/>
      <c r="AH10" s="208"/>
      <c r="AI10" s="463"/>
      <c r="AJ10" s="208"/>
      <c r="AK10" s="208"/>
      <c r="AL10" s="208"/>
      <c r="AM10" s="208"/>
      <c r="AN10" s="463"/>
      <c r="AO10" s="208"/>
      <c r="AP10" s="208"/>
      <c r="AQ10" s="208"/>
      <c r="AR10" s="208"/>
      <c r="AS10" s="463"/>
      <c r="AT10" s="208"/>
      <c r="AU10" s="208"/>
      <c r="AV10" s="208"/>
      <c r="AW10" s="208"/>
      <c r="AX10" s="463"/>
      <c r="AY10" s="208"/>
      <c r="AZ10" s="208"/>
      <c r="BA10" s="208"/>
      <c r="BB10" s="208"/>
      <c r="BC10" s="463"/>
      <c r="BD10" s="208"/>
      <c r="BE10" s="208"/>
      <c r="BF10" s="208"/>
      <c r="BG10" s="208"/>
      <c r="BH10" s="463"/>
      <c r="BI10" s="208"/>
      <c r="BJ10" s="208"/>
      <c r="BK10" s="208"/>
      <c r="BL10" s="208"/>
      <c r="BM10" s="463"/>
      <c r="BN10" s="208"/>
      <c r="BO10" s="208"/>
      <c r="BP10" s="208"/>
      <c r="BQ10" s="208"/>
      <c r="BR10" s="463"/>
      <c r="BS10" s="208"/>
      <c r="BT10" s="208"/>
      <c r="BU10" s="208"/>
      <c r="BV10" s="571"/>
      <c r="BW10" s="465"/>
    </row>
    <row r="11" spans="1:77" x14ac:dyDescent="0.2">
      <c r="A11" s="377"/>
      <c r="B11" s="377"/>
      <c r="D11" s="484"/>
      <c r="E11" s="482"/>
      <c r="F11" s="378"/>
      <c r="G11" s="378"/>
      <c r="H11" s="378"/>
      <c r="I11" s="378"/>
      <c r="J11" s="482"/>
      <c r="K11" s="378"/>
      <c r="L11" s="378"/>
      <c r="M11" s="378"/>
      <c r="N11" s="378"/>
      <c r="O11" s="482"/>
      <c r="P11" s="378"/>
      <c r="Q11" s="378"/>
      <c r="R11" s="378"/>
      <c r="S11" s="378"/>
      <c r="T11" s="482"/>
      <c r="U11" s="378"/>
      <c r="V11" s="378"/>
      <c r="W11" s="378"/>
      <c r="X11" s="378"/>
      <c r="Y11" s="482"/>
      <c r="Z11" s="378"/>
      <c r="AA11" s="378"/>
      <c r="AB11" s="378"/>
      <c r="AC11" s="378"/>
      <c r="AD11" s="482"/>
      <c r="AE11" s="378"/>
      <c r="AF11" s="378"/>
      <c r="AG11" s="378"/>
      <c r="AH11" s="378"/>
      <c r="AI11" s="482"/>
      <c r="AJ11" s="378"/>
      <c r="AK11" s="378"/>
      <c r="AL11" s="378"/>
      <c r="AM11" s="378"/>
      <c r="AN11" s="482"/>
      <c r="AO11" s="378"/>
      <c r="AP11" s="378"/>
      <c r="AQ11" s="378"/>
      <c r="AR11" s="378"/>
      <c r="AS11" s="482"/>
      <c r="AT11" s="378"/>
      <c r="AU11" s="378"/>
      <c r="AV11" s="378"/>
      <c r="AW11" s="378"/>
      <c r="AX11" s="482"/>
      <c r="AY11" s="378"/>
      <c r="AZ11" s="378"/>
      <c r="BA11" s="378"/>
      <c r="BB11" s="378"/>
      <c r="BC11" s="482"/>
      <c r="BD11" s="378"/>
      <c r="BE11" s="378"/>
      <c r="BF11" s="378"/>
      <c r="BG11" s="378"/>
      <c r="BH11" s="482"/>
      <c r="BI11" s="378"/>
      <c r="BJ11" s="378"/>
      <c r="BK11" s="378"/>
      <c r="BL11" s="378"/>
      <c r="BM11" s="482"/>
      <c r="BN11" s="378"/>
      <c r="BO11" s="378"/>
      <c r="BP11" s="378"/>
      <c r="BQ11" s="378"/>
      <c r="BR11" s="482"/>
      <c r="BS11" s="378"/>
      <c r="BT11" s="377"/>
      <c r="BU11" s="377"/>
      <c r="BV11" s="513"/>
      <c r="BW11" s="465"/>
    </row>
    <row r="12" spans="1:77" s="410" customFormat="1" x14ac:dyDescent="0.2">
      <c r="A12" s="411"/>
      <c r="B12" s="411"/>
      <c r="D12" s="455" t="s">
        <v>446</v>
      </c>
      <c r="E12" s="485"/>
      <c r="F12" s="411"/>
      <c r="G12" s="61">
        <f>SUM(G13:G16)</f>
        <v>52465000</v>
      </c>
      <c r="H12" s="61"/>
      <c r="I12" s="61"/>
      <c r="J12" s="467"/>
      <c r="K12" s="61"/>
      <c r="L12" s="486">
        <f>SUM(L13:L16)</f>
        <v>1687473</v>
      </c>
      <c r="M12" s="486"/>
      <c r="N12" s="486"/>
      <c r="O12" s="487"/>
      <c r="P12" s="486"/>
      <c r="Q12" s="486">
        <f>SUM(Q13:Q16)</f>
        <v>364729</v>
      </c>
      <c r="R12" s="486"/>
      <c r="S12" s="486"/>
      <c r="T12" s="487"/>
      <c r="U12" s="486"/>
      <c r="V12" s="486">
        <f>SUM(V13:V16)</f>
        <v>141048</v>
      </c>
      <c r="W12" s="486"/>
      <c r="X12" s="486"/>
      <c r="Y12" s="487"/>
      <c r="Z12" s="486"/>
      <c r="AA12" s="486">
        <f>SUM(AA13:AA16)</f>
        <v>339545</v>
      </c>
      <c r="AB12" s="486"/>
      <c r="AC12" s="486"/>
      <c r="AD12" s="487"/>
      <c r="AE12" s="486"/>
      <c r="AF12" s="486">
        <f>SUM(AF13:AF16)</f>
        <v>253446</v>
      </c>
      <c r="AG12" s="486"/>
      <c r="AH12" s="486"/>
      <c r="AI12" s="487"/>
      <c r="AJ12" s="486"/>
      <c r="AK12" s="486">
        <f>SUM(AK13:AK16)</f>
        <v>241575</v>
      </c>
      <c r="AL12" s="486"/>
      <c r="AM12" s="486"/>
      <c r="AN12" s="487"/>
      <c r="AO12" s="486"/>
      <c r="AP12" s="486">
        <f>SUM(AP13:AP16)</f>
        <v>0</v>
      </c>
      <c r="AQ12" s="486"/>
      <c r="AR12" s="486"/>
      <c r="AS12" s="487"/>
      <c r="AT12" s="486"/>
      <c r="AU12" s="486">
        <f>SUM(AU13:AU16)</f>
        <v>0</v>
      </c>
      <c r="AV12" s="486"/>
      <c r="AW12" s="486"/>
      <c r="AX12" s="487"/>
      <c r="AY12" s="486"/>
      <c r="AZ12" s="486">
        <f>SUM(AZ13:AZ16)</f>
        <v>0</v>
      </c>
      <c r="BA12" s="486"/>
      <c r="BB12" s="486"/>
      <c r="BC12" s="487"/>
      <c r="BD12" s="486"/>
      <c r="BE12" s="486">
        <f>SUM(BE13:BE16)</f>
        <v>0</v>
      </c>
      <c r="BF12" s="486"/>
      <c r="BG12" s="486"/>
      <c r="BH12" s="487"/>
      <c r="BI12" s="486"/>
      <c r="BJ12" s="486">
        <f>SUM(BJ13:BJ16)</f>
        <v>0</v>
      </c>
      <c r="BK12" s="486"/>
      <c r="BL12" s="486"/>
      <c r="BM12" s="487"/>
      <c r="BN12" s="486"/>
      <c r="BO12" s="486">
        <f>SUM(BO13:BO16)</f>
        <v>0</v>
      </c>
      <c r="BP12" s="486"/>
      <c r="BQ12" s="486"/>
      <c r="BR12" s="487"/>
      <c r="BS12" s="486"/>
      <c r="BT12" s="486">
        <f>SUM(BT13:BT16)</f>
        <v>3027816</v>
      </c>
      <c r="BU12" s="486"/>
      <c r="BV12" s="735"/>
      <c r="BW12" s="455"/>
    </row>
    <row r="13" spans="1:77" x14ac:dyDescent="0.2">
      <c r="A13" s="377"/>
      <c r="B13" s="377"/>
      <c r="D13" s="465" t="s">
        <v>447</v>
      </c>
      <c r="E13" s="417"/>
      <c r="F13" s="539"/>
      <c r="G13" s="483">
        <f>G18</f>
        <v>52465000</v>
      </c>
      <c r="H13" s="540"/>
      <c r="I13" s="83"/>
      <c r="J13" s="472"/>
      <c r="K13" s="539"/>
      <c r="L13" s="483">
        <f>L18</f>
        <v>1200137</v>
      </c>
      <c r="M13" s="540"/>
      <c r="N13" s="378"/>
      <c r="O13" s="482"/>
      <c r="P13" s="539"/>
      <c r="Q13" s="483">
        <f>Q18</f>
        <v>335047</v>
      </c>
      <c r="R13" s="540"/>
      <c r="S13" s="378"/>
      <c r="T13" s="482"/>
      <c r="U13" s="539"/>
      <c r="V13" s="483">
        <f>V18</f>
        <v>112559</v>
      </c>
      <c r="W13" s="540"/>
      <c r="X13" s="378"/>
      <c r="Y13" s="482"/>
      <c r="Z13" s="539"/>
      <c r="AA13" s="483">
        <f>AA18</f>
        <v>339545</v>
      </c>
      <c r="AB13" s="540"/>
      <c r="AC13" s="378"/>
      <c r="AD13" s="482"/>
      <c r="AE13" s="539"/>
      <c r="AF13" s="483">
        <f>AF18</f>
        <v>212255</v>
      </c>
      <c r="AG13" s="540"/>
      <c r="AH13" s="378"/>
      <c r="AI13" s="482"/>
      <c r="AJ13" s="539"/>
      <c r="AK13" s="483">
        <f>AK18</f>
        <v>223023</v>
      </c>
      <c r="AL13" s="540"/>
      <c r="AM13" s="378"/>
      <c r="AN13" s="482"/>
      <c r="AO13" s="539"/>
      <c r="AP13" s="483">
        <f>AP18</f>
        <v>0</v>
      </c>
      <c r="AQ13" s="540"/>
      <c r="AR13" s="378"/>
      <c r="AS13" s="482"/>
      <c r="AT13" s="539"/>
      <c r="AU13" s="483">
        <f>AU18</f>
        <v>0</v>
      </c>
      <c r="AV13" s="540"/>
      <c r="AW13" s="378"/>
      <c r="AX13" s="482"/>
      <c r="AY13" s="539"/>
      <c r="AZ13" s="483">
        <f>AZ18</f>
        <v>0</v>
      </c>
      <c r="BA13" s="540"/>
      <c r="BB13" s="378"/>
      <c r="BC13" s="482"/>
      <c r="BD13" s="539"/>
      <c r="BE13" s="483">
        <f>BE18</f>
        <v>0</v>
      </c>
      <c r="BF13" s="540"/>
      <c r="BG13" s="378"/>
      <c r="BH13" s="482"/>
      <c r="BI13" s="539"/>
      <c r="BJ13" s="483">
        <f>BJ18</f>
        <v>0</v>
      </c>
      <c r="BK13" s="540"/>
      <c r="BL13" s="378"/>
      <c r="BM13" s="482"/>
      <c r="BN13" s="539"/>
      <c r="BO13" s="483">
        <f>BO18</f>
        <v>0</v>
      </c>
      <c r="BP13" s="540"/>
      <c r="BQ13" s="482"/>
      <c r="BR13" s="482"/>
      <c r="BS13" s="539"/>
      <c r="BT13" s="483">
        <f>BT18</f>
        <v>2422566</v>
      </c>
      <c r="BU13" s="540"/>
      <c r="BV13" s="736"/>
      <c r="BW13" s="465"/>
      <c r="BX13" s="410"/>
      <c r="BY13" s="410"/>
    </row>
    <row r="14" spans="1:77" x14ac:dyDescent="0.2">
      <c r="A14" s="377"/>
      <c r="B14" s="377"/>
      <c r="D14" s="465" t="s">
        <v>448</v>
      </c>
      <c r="E14" s="417"/>
      <c r="F14" s="482"/>
      <c r="G14" s="378">
        <f>G30</f>
        <v>0</v>
      </c>
      <c r="H14" s="541"/>
      <c r="I14" s="378"/>
      <c r="J14" s="482"/>
      <c r="K14" s="482"/>
      <c r="L14" s="378">
        <f>L30</f>
        <v>0</v>
      </c>
      <c r="M14" s="541"/>
      <c r="N14" s="378"/>
      <c r="O14" s="482"/>
      <c r="P14" s="482"/>
      <c r="Q14" s="378">
        <f>Q30</f>
        <v>0</v>
      </c>
      <c r="R14" s="541"/>
      <c r="S14" s="378"/>
      <c r="T14" s="482"/>
      <c r="U14" s="482"/>
      <c r="V14" s="378">
        <f>V30</f>
        <v>0</v>
      </c>
      <c r="W14" s="541"/>
      <c r="X14" s="378"/>
      <c r="Y14" s="482"/>
      <c r="Z14" s="482"/>
      <c r="AA14" s="378">
        <f>AA30</f>
        <v>0</v>
      </c>
      <c r="AB14" s="541"/>
      <c r="AC14" s="378"/>
      <c r="AD14" s="482"/>
      <c r="AE14" s="482"/>
      <c r="AF14" s="378">
        <f>AF30</f>
        <v>0</v>
      </c>
      <c r="AG14" s="541"/>
      <c r="AH14" s="378"/>
      <c r="AI14" s="482"/>
      <c r="AJ14" s="482"/>
      <c r="AK14" s="378">
        <f>AK30</f>
        <v>0</v>
      </c>
      <c r="AL14" s="541"/>
      <c r="AM14" s="378"/>
      <c r="AN14" s="482"/>
      <c r="AO14" s="482"/>
      <c r="AP14" s="378">
        <f>AP30</f>
        <v>0</v>
      </c>
      <c r="AQ14" s="541"/>
      <c r="AR14" s="378"/>
      <c r="AS14" s="482"/>
      <c r="AT14" s="482"/>
      <c r="AU14" s="378">
        <f>AU30</f>
        <v>0</v>
      </c>
      <c r="AV14" s="541"/>
      <c r="AW14" s="378"/>
      <c r="AX14" s="482"/>
      <c r="AY14" s="482"/>
      <c r="AZ14" s="378">
        <f>AZ30</f>
        <v>0</v>
      </c>
      <c r="BA14" s="541"/>
      <c r="BB14" s="378"/>
      <c r="BC14" s="482"/>
      <c r="BD14" s="482"/>
      <c r="BE14" s="378">
        <f>BE30</f>
        <v>0</v>
      </c>
      <c r="BF14" s="541"/>
      <c r="BG14" s="378"/>
      <c r="BH14" s="482"/>
      <c r="BI14" s="482"/>
      <c r="BJ14" s="378">
        <f>BJ30</f>
        <v>0</v>
      </c>
      <c r="BK14" s="541"/>
      <c r="BL14" s="378"/>
      <c r="BM14" s="482"/>
      <c r="BN14" s="482"/>
      <c r="BO14" s="378">
        <f>BO30</f>
        <v>0</v>
      </c>
      <c r="BP14" s="541"/>
      <c r="BQ14" s="482"/>
      <c r="BR14" s="482"/>
      <c r="BS14" s="482"/>
      <c r="BT14" s="378">
        <f>BT30</f>
        <v>0</v>
      </c>
      <c r="BU14" s="541"/>
      <c r="BV14" s="736"/>
      <c r="BW14" s="465"/>
      <c r="BX14" s="410"/>
      <c r="BY14" s="410"/>
    </row>
    <row r="15" spans="1:77" x14ac:dyDescent="0.2">
      <c r="A15" s="377"/>
      <c r="B15" s="377"/>
      <c r="D15" s="465" t="s">
        <v>449</v>
      </c>
      <c r="E15" s="417"/>
      <c r="F15" s="482"/>
      <c r="G15" s="378">
        <f>G65</f>
        <v>0</v>
      </c>
      <c r="H15" s="541"/>
      <c r="I15" s="83"/>
      <c r="J15" s="472"/>
      <c r="K15" s="482"/>
      <c r="L15" s="378">
        <f>L65</f>
        <v>487336</v>
      </c>
      <c r="M15" s="541"/>
      <c r="N15" s="83"/>
      <c r="O15" s="472"/>
      <c r="P15" s="482"/>
      <c r="Q15" s="378">
        <f>Q65</f>
        <v>29682</v>
      </c>
      <c r="R15" s="541"/>
      <c r="S15" s="378"/>
      <c r="T15" s="482"/>
      <c r="U15" s="482"/>
      <c r="V15" s="378">
        <f>V65</f>
        <v>28489</v>
      </c>
      <c r="W15" s="541"/>
      <c r="X15" s="378"/>
      <c r="Y15" s="482"/>
      <c r="Z15" s="482"/>
      <c r="AA15" s="378">
        <f>AA65</f>
        <v>0</v>
      </c>
      <c r="AB15" s="541"/>
      <c r="AC15" s="378"/>
      <c r="AD15" s="482"/>
      <c r="AE15" s="482"/>
      <c r="AF15" s="378">
        <f>AF65</f>
        <v>41191</v>
      </c>
      <c r="AG15" s="541"/>
      <c r="AH15" s="378"/>
      <c r="AI15" s="482"/>
      <c r="AJ15" s="482"/>
      <c r="AK15" s="378">
        <f>AK65</f>
        <v>18552</v>
      </c>
      <c r="AL15" s="541"/>
      <c r="AM15" s="378"/>
      <c r="AN15" s="482"/>
      <c r="AO15" s="482"/>
      <c r="AP15" s="378">
        <f>AP65</f>
        <v>0</v>
      </c>
      <c r="AQ15" s="541"/>
      <c r="AR15" s="378"/>
      <c r="AS15" s="482"/>
      <c r="AT15" s="482"/>
      <c r="AU15" s="378">
        <f>AU65</f>
        <v>0</v>
      </c>
      <c r="AV15" s="541"/>
      <c r="AW15" s="378"/>
      <c r="AX15" s="482"/>
      <c r="AY15" s="482"/>
      <c r="AZ15" s="378">
        <f>AZ65</f>
        <v>0</v>
      </c>
      <c r="BA15" s="541"/>
      <c r="BB15" s="378"/>
      <c r="BC15" s="482"/>
      <c r="BD15" s="482"/>
      <c r="BE15" s="378">
        <f>BE65</f>
        <v>0</v>
      </c>
      <c r="BF15" s="541"/>
      <c r="BG15" s="378"/>
      <c r="BH15" s="482"/>
      <c r="BI15" s="482"/>
      <c r="BJ15" s="378">
        <f>BJ65</f>
        <v>0</v>
      </c>
      <c r="BK15" s="541"/>
      <c r="BL15" s="378"/>
      <c r="BM15" s="482"/>
      <c r="BN15" s="482"/>
      <c r="BO15" s="378">
        <f>BO65</f>
        <v>0</v>
      </c>
      <c r="BP15" s="541"/>
      <c r="BQ15" s="482"/>
      <c r="BR15" s="482"/>
      <c r="BS15" s="482"/>
      <c r="BT15" s="378">
        <f>BT65</f>
        <v>605250</v>
      </c>
      <c r="BU15" s="541"/>
      <c r="BV15" s="736"/>
      <c r="BW15" s="465"/>
      <c r="BX15" s="410"/>
      <c r="BY15" s="410"/>
    </row>
    <row r="16" spans="1:77" ht="12.75" customHeight="1" x14ac:dyDescent="0.2">
      <c r="A16" s="377"/>
      <c r="B16" s="377"/>
      <c r="D16" s="465" t="s">
        <v>450</v>
      </c>
      <c r="E16" s="417"/>
      <c r="F16" s="542"/>
      <c r="G16" s="543">
        <f>G122</f>
        <v>0</v>
      </c>
      <c r="H16" s="544"/>
      <c r="I16" s="83"/>
      <c r="J16" s="472"/>
      <c r="K16" s="542"/>
      <c r="L16" s="543">
        <f>L122</f>
        <v>0</v>
      </c>
      <c r="M16" s="544"/>
      <c r="N16" s="83"/>
      <c r="O16" s="472"/>
      <c r="P16" s="542"/>
      <c r="Q16" s="543">
        <f>Q122</f>
        <v>0</v>
      </c>
      <c r="R16" s="544"/>
      <c r="S16" s="378"/>
      <c r="T16" s="482"/>
      <c r="U16" s="542"/>
      <c r="V16" s="543">
        <f>V122</f>
        <v>0</v>
      </c>
      <c r="W16" s="544"/>
      <c r="X16" s="378"/>
      <c r="Y16" s="482"/>
      <c r="Z16" s="542"/>
      <c r="AA16" s="543">
        <f>AA122</f>
        <v>0</v>
      </c>
      <c r="AB16" s="544"/>
      <c r="AC16" s="378"/>
      <c r="AD16" s="482"/>
      <c r="AE16" s="542"/>
      <c r="AF16" s="543">
        <f>AF122</f>
        <v>0</v>
      </c>
      <c r="AG16" s="544"/>
      <c r="AH16" s="378"/>
      <c r="AI16" s="482"/>
      <c r="AJ16" s="542"/>
      <c r="AK16" s="543">
        <f>AK122</f>
        <v>0</v>
      </c>
      <c r="AL16" s="544"/>
      <c r="AM16" s="378"/>
      <c r="AN16" s="482"/>
      <c r="AO16" s="542"/>
      <c r="AP16" s="543">
        <f>AP122</f>
        <v>0</v>
      </c>
      <c r="AQ16" s="544"/>
      <c r="AR16" s="378"/>
      <c r="AS16" s="482"/>
      <c r="AT16" s="542"/>
      <c r="AU16" s="543">
        <f>AU122</f>
        <v>0</v>
      </c>
      <c r="AV16" s="544"/>
      <c r="AW16" s="378"/>
      <c r="AX16" s="482"/>
      <c r="AY16" s="542"/>
      <c r="AZ16" s="543">
        <f>AZ122</f>
        <v>0</v>
      </c>
      <c r="BA16" s="544"/>
      <c r="BB16" s="378"/>
      <c r="BC16" s="482"/>
      <c r="BD16" s="542"/>
      <c r="BE16" s="543">
        <f>BE122</f>
        <v>0</v>
      </c>
      <c r="BF16" s="544"/>
      <c r="BG16" s="378"/>
      <c r="BH16" s="482"/>
      <c r="BI16" s="542"/>
      <c r="BJ16" s="543">
        <f>BJ122</f>
        <v>0</v>
      </c>
      <c r="BK16" s="544"/>
      <c r="BL16" s="378"/>
      <c r="BM16" s="482"/>
      <c r="BN16" s="542"/>
      <c r="BO16" s="543">
        <f>BO122</f>
        <v>0</v>
      </c>
      <c r="BP16" s="544"/>
      <c r="BQ16" s="378"/>
      <c r="BR16" s="482"/>
      <c r="BS16" s="542"/>
      <c r="BT16" s="543">
        <f>BT122</f>
        <v>0</v>
      </c>
      <c r="BU16" s="544"/>
      <c r="BV16" s="736"/>
      <c r="BW16" s="465"/>
      <c r="BX16" s="410"/>
      <c r="BY16" s="410"/>
    </row>
    <row r="17" spans="1:77" x14ac:dyDescent="0.2">
      <c r="A17" s="377"/>
      <c r="B17" s="377"/>
      <c r="D17" s="465"/>
      <c r="E17" s="417"/>
      <c r="F17" s="377"/>
      <c r="G17" s="545"/>
      <c r="H17" s="378"/>
      <c r="I17" s="378"/>
      <c r="J17" s="482"/>
      <c r="K17" s="378"/>
      <c r="L17" s="378"/>
      <c r="M17" s="378"/>
      <c r="N17" s="378"/>
      <c r="O17" s="482"/>
      <c r="P17" s="483"/>
      <c r="Q17" s="378"/>
      <c r="R17" s="483"/>
      <c r="S17" s="378"/>
      <c r="T17" s="482"/>
      <c r="U17" s="483"/>
      <c r="V17" s="378"/>
      <c r="W17" s="483"/>
      <c r="X17" s="378"/>
      <c r="Y17" s="482"/>
      <c r="Z17" s="483"/>
      <c r="AA17" s="378"/>
      <c r="AB17" s="483"/>
      <c r="AC17" s="378"/>
      <c r="AD17" s="482"/>
      <c r="AE17" s="483"/>
      <c r="AF17" s="378"/>
      <c r="AG17" s="483"/>
      <c r="AH17" s="378"/>
      <c r="AI17" s="482"/>
      <c r="AJ17" s="483"/>
      <c r="AK17" s="378"/>
      <c r="AL17" s="483"/>
      <c r="AM17" s="378"/>
      <c r="AN17" s="482"/>
      <c r="AO17" s="483"/>
      <c r="AP17" s="378"/>
      <c r="AQ17" s="483"/>
      <c r="AR17" s="378"/>
      <c r="AS17" s="482"/>
      <c r="AT17" s="378"/>
      <c r="AU17" s="378"/>
      <c r="AV17" s="378"/>
      <c r="AW17" s="378"/>
      <c r="AX17" s="482"/>
      <c r="AY17" s="378"/>
      <c r="AZ17" s="378"/>
      <c r="BA17" s="483"/>
      <c r="BB17" s="378"/>
      <c r="BC17" s="482"/>
      <c r="BD17" s="378"/>
      <c r="BE17" s="378"/>
      <c r="BF17" s="378"/>
      <c r="BG17" s="378"/>
      <c r="BH17" s="482"/>
      <c r="BI17" s="483"/>
      <c r="BJ17" s="378"/>
      <c r="BK17" s="483"/>
      <c r="BL17" s="378"/>
      <c r="BM17" s="482"/>
      <c r="BN17" s="483"/>
      <c r="BO17" s="378"/>
      <c r="BP17" s="483"/>
      <c r="BQ17" s="378"/>
      <c r="BR17" s="482"/>
      <c r="BS17" s="378"/>
      <c r="BT17" s="378"/>
      <c r="BU17" s="378"/>
      <c r="BV17" s="736"/>
      <c r="BW17" s="465"/>
      <c r="BX17" s="410"/>
      <c r="BY17" s="410"/>
    </row>
    <row r="18" spans="1:77" s="410" customFormat="1" ht="12.75" customHeight="1" x14ac:dyDescent="0.2">
      <c r="A18" s="411"/>
      <c r="B18" s="411"/>
      <c r="D18" s="455" t="s">
        <v>451</v>
      </c>
      <c r="E18" s="485"/>
      <c r="F18" s="546"/>
      <c r="G18" s="547">
        <f>SUM(G19:G28)</f>
        <v>52465000</v>
      </c>
      <c r="H18" s="547"/>
      <c r="I18" s="42"/>
      <c r="J18" s="523"/>
      <c r="K18" s="547"/>
      <c r="L18" s="547">
        <f>SUM(L19:L28)</f>
        <v>1200137</v>
      </c>
      <c r="M18" s="547"/>
      <c r="N18" s="42"/>
      <c r="O18" s="523"/>
      <c r="P18" s="547"/>
      <c r="Q18" s="547">
        <f>SUM(Q19:Q28)</f>
        <v>335047</v>
      </c>
      <c r="R18" s="547"/>
      <c r="S18" s="42"/>
      <c r="T18" s="523"/>
      <c r="U18" s="547"/>
      <c r="V18" s="547">
        <f>SUM(V19:V28)</f>
        <v>112559</v>
      </c>
      <c r="W18" s="547"/>
      <c r="X18" s="42"/>
      <c r="Y18" s="523"/>
      <c r="Z18" s="547"/>
      <c r="AA18" s="547">
        <f>SUM(AA19:AA28)</f>
        <v>339545</v>
      </c>
      <c r="AB18" s="547"/>
      <c r="AC18" s="42"/>
      <c r="AD18" s="523"/>
      <c r="AE18" s="547"/>
      <c r="AF18" s="547">
        <f>SUM(AF19:AF28)</f>
        <v>212255</v>
      </c>
      <c r="AG18" s="547"/>
      <c r="AH18" s="42"/>
      <c r="AI18" s="523"/>
      <c r="AJ18" s="547"/>
      <c r="AK18" s="547">
        <f>SUM(AK19:AK28)</f>
        <v>223023</v>
      </c>
      <c r="AL18" s="547"/>
      <c r="AM18" s="42"/>
      <c r="AN18" s="523"/>
      <c r="AO18" s="547"/>
      <c r="AP18" s="547">
        <f>SUM(AP19:AP28)</f>
        <v>0</v>
      </c>
      <c r="AQ18" s="547"/>
      <c r="AR18" s="42"/>
      <c r="AS18" s="523"/>
      <c r="AT18" s="547"/>
      <c r="AU18" s="547">
        <f>SUM(AU19:AU28)</f>
        <v>0</v>
      </c>
      <c r="AV18" s="547"/>
      <c r="AW18" s="42"/>
      <c r="AX18" s="523"/>
      <c r="AY18" s="547"/>
      <c r="AZ18" s="547">
        <f>SUM(AZ19:AZ28)</f>
        <v>0</v>
      </c>
      <c r="BA18" s="547"/>
      <c r="BB18" s="42"/>
      <c r="BC18" s="523"/>
      <c r="BD18" s="547"/>
      <c r="BE18" s="547">
        <f>SUM(BE19:BE28)</f>
        <v>0</v>
      </c>
      <c r="BF18" s="547"/>
      <c r="BG18" s="42"/>
      <c r="BH18" s="523"/>
      <c r="BI18" s="547"/>
      <c r="BJ18" s="547">
        <f>SUM(BJ19:BJ28)</f>
        <v>0</v>
      </c>
      <c r="BK18" s="547"/>
      <c r="BL18" s="42"/>
      <c r="BM18" s="523"/>
      <c r="BN18" s="547"/>
      <c r="BO18" s="547">
        <f>SUM(BO19:BO28)</f>
        <v>0</v>
      </c>
      <c r="BP18" s="547"/>
      <c r="BQ18" s="42"/>
      <c r="BR18" s="523"/>
      <c r="BS18" s="547"/>
      <c r="BT18" s="547">
        <f>SUM(BT19:BT28)</f>
        <v>2422566</v>
      </c>
      <c r="BU18" s="547"/>
      <c r="BV18" s="58"/>
      <c r="BW18" s="455"/>
    </row>
    <row r="19" spans="1:77" ht="12.75" customHeight="1" x14ac:dyDescent="0.2">
      <c r="A19" s="377"/>
      <c r="B19" s="377"/>
      <c r="D19" s="465" t="s">
        <v>452</v>
      </c>
      <c r="E19" s="417"/>
      <c r="F19" s="417"/>
      <c r="G19" s="53">
        <v>48965000</v>
      </c>
      <c r="H19" s="52"/>
      <c r="I19" s="53"/>
      <c r="J19" s="518"/>
      <c r="K19" s="518"/>
      <c r="L19" s="53">
        <v>0</v>
      </c>
      <c r="M19" s="52"/>
      <c r="N19" s="53"/>
      <c r="O19" s="518"/>
      <c r="P19" s="518"/>
      <c r="Q19" s="53">
        <v>0</v>
      </c>
      <c r="R19" s="52"/>
      <c r="S19" s="53"/>
      <c r="T19" s="518"/>
      <c r="U19" s="518"/>
      <c r="V19" s="53">
        <v>0</v>
      </c>
      <c r="W19" s="52"/>
      <c r="X19" s="53"/>
      <c r="Y19" s="518"/>
      <c r="Z19" s="518"/>
      <c r="AA19" s="53">
        <v>0</v>
      </c>
      <c r="AB19" s="52"/>
      <c r="AC19" s="53"/>
      <c r="AD19" s="518"/>
      <c r="AE19" s="518"/>
      <c r="AF19" s="53">
        <v>0</v>
      </c>
      <c r="AG19" s="52"/>
      <c r="AH19" s="53"/>
      <c r="AI19" s="518"/>
      <c r="AJ19" s="518"/>
      <c r="AK19" s="53">
        <v>0</v>
      </c>
      <c r="AL19" s="52"/>
      <c r="AM19" s="53"/>
      <c r="AN19" s="518"/>
      <c r="AO19" s="518"/>
      <c r="AP19" s="53">
        <v>0</v>
      </c>
      <c r="AQ19" s="52"/>
      <c r="AR19" s="53"/>
      <c r="AS19" s="518"/>
      <c r="AT19" s="518"/>
      <c r="AU19" s="53">
        <v>0</v>
      </c>
      <c r="AV19" s="52"/>
      <c r="AW19" s="53"/>
      <c r="AX19" s="518"/>
      <c r="AY19" s="518"/>
      <c r="AZ19" s="53">
        <v>0</v>
      </c>
      <c r="BA19" s="52"/>
      <c r="BB19" s="53"/>
      <c r="BC19" s="518"/>
      <c r="BD19" s="518"/>
      <c r="BE19" s="53">
        <v>0</v>
      </c>
      <c r="BF19" s="52"/>
      <c r="BG19" s="53"/>
      <c r="BH19" s="518"/>
      <c r="BI19" s="518"/>
      <c r="BJ19" s="53">
        <v>0</v>
      </c>
      <c r="BK19" s="52"/>
      <c r="BL19" s="53"/>
      <c r="BM19" s="518"/>
      <c r="BN19" s="518"/>
      <c r="BO19" s="53">
        <v>0</v>
      </c>
      <c r="BP19" s="52"/>
      <c r="BQ19" s="53"/>
      <c r="BR19" s="518"/>
      <c r="BS19" s="518"/>
      <c r="BT19" s="53">
        <f t="shared" ref="BT19:BT28" si="0">SUM(L19:BO19)</f>
        <v>0</v>
      </c>
      <c r="BU19" s="52"/>
      <c r="BV19" s="54"/>
      <c r="BW19" s="465"/>
      <c r="BX19" s="410"/>
      <c r="BY19" s="410"/>
    </row>
    <row r="20" spans="1:77" ht="12.75" customHeight="1" x14ac:dyDescent="0.2">
      <c r="A20" s="377"/>
      <c r="B20" s="377"/>
      <c r="D20" s="465" t="s">
        <v>398</v>
      </c>
      <c r="E20" s="417"/>
      <c r="F20" s="417"/>
      <c r="G20" s="53">
        <v>0</v>
      </c>
      <c r="H20" s="52"/>
      <c r="I20" s="53"/>
      <c r="J20" s="518"/>
      <c r="K20" s="518"/>
      <c r="L20" s="53">
        <v>0</v>
      </c>
      <c r="M20" s="52"/>
      <c r="N20" s="53"/>
      <c r="O20" s="518"/>
      <c r="P20" s="518"/>
      <c r="Q20" s="53">
        <v>0</v>
      </c>
      <c r="R20" s="52"/>
      <c r="S20" s="53"/>
      <c r="T20" s="518"/>
      <c r="U20" s="518"/>
      <c r="V20" s="53">
        <v>0</v>
      </c>
      <c r="W20" s="52"/>
      <c r="X20" s="53"/>
      <c r="Y20" s="518"/>
      <c r="Z20" s="518"/>
      <c r="AA20" s="53">
        <v>0</v>
      </c>
      <c r="AB20" s="52"/>
      <c r="AC20" s="53"/>
      <c r="AD20" s="518"/>
      <c r="AE20" s="518"/>
      <c r="AF20" s="53">
        <v>0</v>
      </c>
      <c r="AG20" s="52"/>
      <c r="AH20" s="53"/>
      <c r="AI20" s="518"/>
      <c r="AJ20" s="518"/>
      <c r="AK20" s="53">
        <v>0</v>
      </c>
      <c r="AL20" s="52"/>
      <c r="AM20" s="53"/>
      <c r="AN20" s="518"/>
      <c r="AO20" s="518"/>
      <c r="AP20" s="53">
        <v>0</v>
      </c>
      <c r="AQ20" s="52"/>
      <c r="AR20" s="53"/>
      <c r="AS20" s="518"/>
      <c r="AT20" s="518"/>
      <c r="AU20" s="53">
        <v>0</v>
      </c>
      <c r="AV20" s="52"/>
      <c r="AW20" s="53"/>
      <c r="AX20" s="518"/>
      <c r="AY20" s="518"/>
      <c r="AZ20" s="53">
        <v>0</v>
      </c>
      <c r="BA20" s="52"/>
      <c r="BB20" s="53"/>
      <c r="BC20" s="518"/>
      <c r="BD20" s="518"/>
      <c r="BE20" s="53">
        <v>0</v>
      </c>
      <c r="BF20" s="52"/>
      <c r="BG20" s="53"/>
      <c r="BH20" s="518"/>
      <c r="BI20" s="518"/>
      <c r="BJ20" s="53">
        <v>0</v>
      </c>
      <c r="BK20" s="52"/>
      <c r="BL20" s="53"/>
      <c r="BM20" s="518"/>
      <c r="BN20" s="518"/>
      <c r="BO20" s="53">
        <v>0</v>
      </c>
      <c r="BP20" s="52"/>
      <c r="BQ20" s="53"/>
      <c r="BR20" s="518"/>
      <c r="BS20" s="518"/>
      <c r="BT20" s="53">
        <f t="shared" si="0"/>
        <v>0</v>
      </c>
      <c r="BU20" s="52"/>
      <c r="BV20" s="54"/>
      <c r="BW20" s="465"/>
      <c r="BX20" s="410"/>
      <c r="BY20" s="410"/>
    </row>
    <row r="21" spans="1:77" ht="12.75" hidden="1" customHeight="1" x14ac:dyDescent="0.2">
      <c r="A21" s="377"/>
      <c r="B21" s="377"/>
      <c r="D21" s="465" t="s">
        <v>394</v>
      </c>
      <c r="E21" s="417"/>
      <c r="F21" s="417"/>
      <c r="G21" s="53">
        <v>0</v>
      </c>
      <c r="H21" s="52"/>
      <c r="I21" s="53"/>
      <c r="J21" s="518"/>
      <c r="K21" s="518"/>
      <c r="L21" s="53">
        <v>0</v>
      </c>
      <c r="M21" s="52"/>
      <c r="N21" s="53"/>
      <c r="O21" s="518"/>
      <c r="P21" s="518"/>
      <c r="Q21" s="53">
        <v>0</v>
      </c>
      <c r="R21" s="52"/>
      <c r="S21" s="53"/>
      <c r="T21" s="518"/>
      <c r="U21" s="518"/>
      <c r="V21" s="53">
        <v>0</v>
      </c>
      <c r="W21" s="52"/>
      <c r="X21" s="53"/>
      <c r="Y21" s="518"/>
      <c r="Z21" s="518"/>
      <c r="AA21" s="53">
        <v>0</v>
      </c>
      <c r="AB21" s="52"/>
      <c r="AC21" s="53"/>
      <c r="AD21" s="518"/>
      <c r="AE21" s="518"/>
      <c r="AF21" s="53">
        <v>0</v>
      </c>
      <c r="AG21" s="52"/>
      <c r="AH21" s="53"/>
      <c r="AI21" s="518"/>
      <c r="AJ21" s="518"/>
      <c r="AK21" s="53">
        <v>0</v>
      </c>
      <c r="AL21" s="52"/>
      <c r="AM21" s="53"/>
      <c r="AN21" s="518"/>
      <c r="AO21" s="518"/>
      <c r="AP21" s="53">
        <v>0</v>
      </c>
      <c r="AQ21" s="52"/>
      <c r="AR21" s="53"/>
      <c r="AS21" s="518"/>
      <c r="AT21" s="518"/>
      <c r="AU21" s="53">
        <v>0</v>
      </c>
      <c r="AV21" s="52"/>
      <c r="AW21" s="53"/>
      <c r="AX21" s="518"/>
      <c r="AY21" s="518"/>
      <c r="AZ21" s="53">
        <v>0</v>
      </c>
      <c r="BA21" s="52"/>
      <c r="BB21" s="53"/>
      <c r="BC21" s="518"/>
      <c r="BD21" s="518"/>
      <c r="BE21" s="53">
        <v>0</v>
      </c>
      <c r="BF21" s="52"/>
      <c r="BG21" s="53"/>
      <c r="BH21" s="518"/>
      <c r="BI21" s="518"/>
      <c r="BJ21" s="53">
        <v>0</v>
      </c>
      <c r="BK21" s="52"/>
      <c r="BL21" s="53"/>
      <c r="BM21" s="518"/>
      <c r="BN21" s="518"/>
      <c r="BO21" s="53">
        <v>0</v>
      </c>
      <c r="BP21" s="52"/>
      <c r="BQ21" s="53"/>
      <c r="BR21" s="518"/>
      <c r="BS21" s="518"/>
      <c r="BT21" s="53">
        <f t="shared" si="0"/>
        <v>0</v>
      </c>
      <c r="BU21" s="52"/>
      <c r="BV21" s="54"/>
      <c r="BW21" s="465"/>
      <c r="BX21" s="410"/>
      <c r="BY21" s="410"/>
    </row>
    <row r="22" spans="1:77" ht="12.75" hidden="1" customHeight="1" x14ac:dyDescent="0.2">
      <c r="A22" s="377"/>
      <c r="B22" s="377"/>
      <c r="D22" s="465" t="s">
        <v>453</v>
      </c>
      <c r="E22" s="417"/>
      <c r="F22" s="417"/>
      <c r="G22" s="53">
        <v>0</v>
      </c>
      <c r="H22" s="52"/>
      <c r="I22" s="53"/>
      <c r="J22" s="518"/>
      <c r="K22" s="518"/>
      <c r="L22" s="53">
        <v>0</v>
      </c>
      <c r="M22" s="52"/>
      <c r="N22" s="53"/>
      <c r="O22" s="518"/>
      <c r="P22" s="518"/>
      <c r="Q22" s="53">
        <v>0</v>
      </c>
      <c r="R22" s="52"/>
      <c r="S22" s="53"/>
      <c r="T22" s="518"/>
      <c r="U22" s="518"/>
      <c r="V22" s="53">
        <v>0</v>
      </c>
      <c r="W22" s="52"/>
      <c r="X22" s="53"/>
      <c r="Y22" s="518"/>
      <c r="Z22" s="518"/>
      <c r="AA22" s="53">
        <v>0</v>
      </c>
      <c r="AB22" s="52"/>
      <c r="AC22" s="53"/>
      <c r="AD22" s="518"/>
      <c r="AE22" s="518"/>
      <c r="AF22" s="53">
        <v>0</v>
      </c>
      <c r="AG22" s="52"/>
      <c r="AH22" s="53"/>
      <c r="AI22" s="518"/>
      <c r="AJ22" s="518"/>
      <c r="AK22" s="53">
        <v>0</v>
      </c>
      <c r="AL22" s="52"/>
      <c r="AM22" s="53"/>
      <c r="AN22" s="518"/>
      <c r="AO22" s="518"/>
      <c r="AP22" s="53">
        <v>0</v>
      </c>
      <c r="AQ22" s="52"/>
      <c r="AR22" s="53"/>
      <c r="AS22" s="518"/>
      <c r="AT22" s="518"/>
      <c r="AU22" s="53">
        <v>0</v>
      </c>
      <c r="AV22" s="52"/>
      <c r="AW22" s="53"/>
      <c r="AX22" s="518"/>
      <c r="AY22" s="518"/>
      <c r="AZ22" s="53">
        <v>0</v>
      </c>
      <c r="BA22" s="52"/>
      <c r="BB22" s="53"/>
      <c r="BC22" s="518"/>
      <c r="BD22" s="518"/>
      <c r="BE22" s="53">
        <v>0</v>
      </c>
      <c r="BF22" s="52"/>
      <c r="BG22" s="53"/>
      <c r="BH22" s="518"/>
      <c r="BI22" s="518"/>
      <c r="BJ22" s="53">
        <v>0</v>
      </c>
      <c r="BK22" s="52"/>
      <c r="BL22" s="53"/>
      <c r="BM22" s="518"/>
      <c r="BN22" s="518"/>
      <c r="BO22" s="53">
        <v>0</v>
      </c>
      <c r="BP22" s="52"/>
      <c r="BQ22" s="53"/>
      <c r="BR22" s="518"/>
      <c r="BS22" s="518"/>
      <c r="BT22" s="53">
        <f t="shared" si="0"/>
        <v>0</v>
      </c>
      <c r="BU22" s="52"/>
      <c r="BV22" s="54"/>
      <c r="BW22" s="465"/>
      <c r="BX22" s="410"/>
      <c r="BY22" s="410"/>
    </row>
    <row r="23" spans="1:77" ht="12.75" hidden="1" customHeight="1" x14ac:dyDescent="0.2">
      <c r="A23" s="377"/>
      <c r="B23" s="377"/>
      <c r="D23" s="465" t="s">
        <v>454</v>
      </c>
      <c r="E23" s="417"/>
      <c r="F23" s="417"/>
      <c r="G23" s="53">
        <v>0</v>
      </c>
      <c r="H23" s="52"/>
      <c r="I23" s="53"/>
      <c r="J23" s="518"/>
      <c r="K23" s="518"/>
      <c r="L23" s="53">
        <v>0</v>
      </c>
      <c r="M23" s="52"/>
      <c r="N23" s="53"/>
      <c r="O23" s="518"/>
      <c r="P23" s="518"/>
      <c r="Q23" s="53">
        <v>0</v>
      </c>
      <c r="R23" s="52"/>
      <c r="S23" s="53"/>
      <c r="T23" s="518"/>
      <c r="U23" s="518"/>
      <c r="V23" s="53">
        <v>0</v>
      </c>
      <c r="W23" s="52"/>
      <c r="X23" s="53"/>
      <c r="Y23" s="518"/>
      <c r="Z23" s="518"/>
      <c r="AA23" s="53">
        <v>0</v>
      </c>
      <c r="AB23" s="52"/>
      <c r="AC23" s="53"/>
      <c r="AD23" s="518"/>
      <c r="AE23" s="518"/>
      <c r="AF23" s="53">
        <v>0</v>
      </c>
      <c r="AG23" s="52"/>
      <c r="AH23" s="53"/>
      <c r="AI23" s="518"/>
      <c r="AJ23" s="518"/>
      <c r="AK23" s="53">
        <v>0</v>
      </c>
      <c r="AL23" s="52"/>
      <c r="AM23" s="53"/>
      <c r="AN23" s="518"/>
      <c r="AO23" s="518"/>
      <c r="AP23" s="53">
        <v>0</v>
      </c>
      <c r="AQ23" s="52"/>
      <c r="AR23" s="53"/>
      <c r="AS23" s="518"/>
      <c r="AT23" s="518"/>
      <c r="AU23" s="53">
        <v>0</v>
      </c>
      <c r="AV23" s="52"/>
      <c r="AW23" s="53"/>
      <c r="AX23" s="518"/>
      <c r="AY23" s="518"/>
      <c r="AZ23" s="53">
        <v>0</v>
      </c>
      <c r="BA23" s="52"/>
      <c r="BB23" s="53"/>
      <c r="BC23" s="518"/>
      <c r="BD23" s="518"/>
      <c r="BE23" s="53">
        <v>0</v>
      </c>
      <c r="BF23" s="52"/>
      <c r="BG23" s="53"/>
      <c r="BH23" s="518"/>
      <c r="BI23" s="518"/>
      <c r="BJ23" s="53">
        <v>0</v>
      </c>
      <c r="BK23" s="52"/>
      <c r="BL23" s="53"/>
      <c r="BM23" s="518"/>
      <c r="BN23" s="518"/>
      <c r="BO23" s="53">
        <v>0</v>
      </c>
      <c r="BP23" s="52"/>
      <c r="BQ23" s="53"/>
      <c r="BR23" s="518"/>
      <c r="BS23" s="518"/>
      <c r="BT23" s="53">
        <f t="shared" si="0"/>
        <v>0</v>
      </c>
      <c r="BU23" s="52"/>
      <c r="BV23" s="54"/>
      <c r="BW23" s="465"/>
      <c r="BX23" s="410"/>
      <c r="BY23" s="410"/>
    </row>
    <row r="24" spans="1:77" ht="12.75" customHeight="1" x14ac:dyDescent="0.2">
      <c r="A24" s="377"/>
      <c r="B24" s="377"/>
      <c r="D24" s="465" t="s">
        <v>455</v>
      </c>
      <c r="E24" s="417"/>
      <c r="F24" s="417"/>
      <c r="G24" s="53">
        <v>0</v>
      </c>
      <c r="H24" s="52"/>
      <c r="I24" s="53"/>
      <c r="J24" s="518"/>
      <c r="K24" s="518"/>
      <c r="L24" s="53">
        <v>0</v>
      </c>
      <c r="M24" s="52"/>
      <c r="N24" s="53"/>
      <c r="O24" s="518"/>
      <c r="P24" s="518"/>
      <c r="Q24" s="53">
        <v>0</v>
      </c>
      <c r="R24" s="52"/>
      <c r="S24" s="53"/>
      <c r="T24" s="518"/>
      <c r="U24" s="518"/>
      <c r="V24" s="53">
        <v>0</v>
      </c>
      <c r="W24" s="52"/>
      <c r="X24" s="53"/>
      <c r="Y24" s="518"/>
      <c r="Z24" s="518"/>
      <c r="AA24" s="53">
        <v>0</v>
      </c>
      <c r="AB24" s="52"/>
      <c r="AC24" s="53"/>
      <c r="AD24" s="518"/>
      <c r="AE24" s="518"/>
      <c r="AF24" s="53">
        <v>0</v>
      </c>
      <c r="AG24" s="52"/>
      <c r="AH24" s="53"/>
      <c r="AI24" s="518"/>
      <c r="AJ24" s="518"/>
      <c r="AK24" s="53">
        <v>0</v>
      </c>
      <c r="AL24" s="52"/>
      <c r="AM24" s="53"/>
      <c r="AN24" s="518"/>
      <c r="AO24" s="518"/>
      <c r="AP24" s="53">
        <v>0</v>
      </c>
      <c r="AQ24" s="52"/>
      <c r="AR24" s="53"/>
      <c r="AS24" s="518"/>
      <c r="AT24" s="518"/>
      <c r="AU24" s="53">
        <v>0</v>
      </c>
      <c r="AV24" s="52"/>
      <c r="AW24" s="53"/>
      <c r="AX24" s="518"/>
      <c r="AY24" s="518"/>
      <c r="AZ24" s="53">
        <v>0</v>
      </c>
      <c r="BA24" s="52"/>
      <c r="BB24" s="53"/>
      <c r="BC24" s="518"/>
      <c r="BD24" s="518"/>
      <c r="BE24" s="53">
        <v>0</v>
      </c>
      <c r="BF24" s="52"/>
      <c r="BG24" s="53"/>
      <c r="BH24" s="518"/>
      <c r="BI24" s="518"/>
      <c r="BJ24" s="53">
        <v>0</v>
      </c>
      <c r="BK24" s="52"/>
      <c r="BL24" s="53"/>
      <c r="BM24" s="518"/>
      <c r="BN24" s="518"/>
      <c r="BO24" s="53">
        <v>0</v>
      </c>
      <c r="BP24" s="52"/>
      <c r="BQ24" s="53"/>
      <c r="BR24" s="518"/>
      <c r="BS24" s="518"/>
      <c r="BT24" s="53">
        <f t="shared" si="0"/>
        <v>0</v>
      </c>
      <c r="BU24" s="52"/>
      <c r="BV24" s="54"/>
      <c r="BW24" s="465"/>
      <c r="BX24" s="410"/>
      <c r="BY24" s="410"/>
    </row>
    <row r="25" spans="1:77" ht="12.75" customHeight="1" x14ac:dyDescent="0.2">
      <c r="A25" s="377"/>
      <c r="B25" s="377"/>
      <c r="D25" s="465" t="s">
        <v>456</v>
      </c>
      <c r="E25" s="417"/>
      <c r="F25" s="417"/>
      <c r="G25" s="53">
        <v>0</v>
      </c>
      <c r="H25" s="52"/>
      <c r="I25" s="53"/>
      <c r="J25" s="518"/>
      <c r="K25" s="518"/>
      <c r="L25" s="53">
        <v>0</v>
      </c>
      <c r="M25" s="52"/>
      <c r="N25" s="53"/>
      <c r="O25" s="518"/>
      <c r="P25" s="518"/>
      <c r="Q25" s="53">
        <v>0</v>
      </c>
      <c r="R25" s="52"/>
      <c r="S25" s="53"/>
      <c r="T25" s="518"/>
      <c r="U25" s="518"/>
      <c r="V25" s="53">
        <v>0</v>
      </c>
      <c r="W25" s="52"/>
      <c r="X25" s="53"/>
      <c r="Y25" s="518"/>
      <c r="Z25" s="518"/>
      <c r="AA25" s="53">
        <v>0</v>
      </c>
      <c r="AB25" s="52"/>
      <c r="AC25" s="53"/>
      <c r="AD25" s="518"/>
      <c r="AE25" s="518"/>
      <c r="AF25" s="53">
        <v>0</v>
      </c>
      <c r="AG25" s="52"/>
      <c r="AH25" s="53"/>
      <c r="AI25" s="518"/>
      <c r="AJ25" s="518"/>
      <c r="AK25" s="53">
        <v>0</v>
      </c>
      <c r="AL25" s="52"/>
      <c r="AM25" s="53"/>
      <c r="AN25" s="518"/>
      <c r="AO25" s="518"/>
      <c r="AP25" s="53">
        <v>0</v>
      </c>
      <c r="AQ25" s="52"/>
      <c r="AR25" s="53"/>
      <c r="AS25" s="518"/>
      <c r="AT25" s="518"/>
      <c r="AU25" s="53">
        <v>0</v>
      </c>
      <c r="AV25" s="52"/>
      <c r="AW25" s="53"/>
      <c r="AX25" s="518"/>
      <c r="AY25" s="518"/>
      <c r="AZ25" s="53">
        <v>0</v>
      </c>
      <c r="BA25" s="52"/>
      <c r="BB25" s="53"/>
      <c r="BC25" s="518"/>
      <c r="BD25" s="518"/>
      <c r="BE25" s="53">
        <v>0</v>
      </c>
      <c r="BF25" s="52"/>
      <c r="BG25" s="53"/>
      <c r="BH25" s="518"/>
      <c r="BI25" s="518"/>
      <c r="BJ25" s="53">
        <v>0</v>
      </c>
      <c r="BK25" s="52"/>
      <c r="BL25" s="53"/>
      <c r="BM25" s="518"/>
      <c r="BN25" s="518"/>
      <c r="BO25" s="53">
        <v>0</v>
      </c>
      <c r="BP25" s="52"/>
      <c r="BQ25" s="53"/>
      <c r="BR25" s="518"/>
      <c r="BS25" s="518"/>
      <c r="BT25" s="53">
        <f t="shared" si="0"/>
        <v>0</v>
      </c>
      <c r="BU25" s="52"/>
      <c r="BV25" s="54"/>
      <c r="BW25" s="465"/>
      <c r="BX25" s="410"/>
      <c r="BY25" s="410"/>
    </row>
    <row r="26" spans="1:77" ht="12.75" customHeight="1" x14ac:dyDescent="0.2">
      <c r="A26" s="377"/>
      <c r="B26" s="377"/>
      <c r="D26" s="465" t="s">
        <v>377</v>
      </c>
      <c r="E26" s="417"/>
      <c r="F26" s="417"/>
      <c r="G26" s="53">
        <v>3500000</v>
      </c>
      <c r="H26" s="52"/>
      <c r="I26" s="53"/>
      <c r="J26" s="518"/>
      <c r="K26" s="518"/>
      <c r="L26" s="53">
        <v>1200137</v>
      </c>
      <c r="M26" s="52"/>
      <c r="N26" s="53"/>
      <c r="O26" s="518"/>
      <c r="P26" s="518"/>
      <c r="Q26" s="53">
        <v>335047</v>
      </c>
      <c r="R26" s="52"/>
      <c r="S26" s="53"/>
      <c r="T26" s="518"/>
      <c r="U26" s="518"/>
      <c r="V26" s="53">
        <v>112559</v>
      </c>
      <c r="W26" s="52"/>
      <c r="X26" s="53"/>
      <c r="Y26" s="518"/>
      <c r="Z26" s="518"/>
      <c r="AA26" s="53">
        <v>339545</v>
      </c>
      <c r="AB26" s="52"/>
      <c r="AC26" s="53"/>
      <c r="AD26" s="518"/>
      <c r="AE26" s="518"/>
      <c r="AF26" s="53">
        <v>212255</v>
      </c>
      <c r="AG26" s="52"/>
      <c r="AH26" s="53"/>
      <c r="AI26" s="518"/>
      <c r="AJ26" s="518"/>
      <c r="AK26" s="53">
        <v>223023</v>
      </c>
      <c r="AL26" s="52"/>
      <c r="AM26" s="53"/>
      <c r="AN26" s="518"/>
      <c r="AO26" s="518"/>
      <c r="AP26" s="53">
        <v>0</v>
      </c>
      <c r="AQ26" s="52"/>
      <c r="AR26" s="53"/>
      <c r="AS26" s="518"/>
      <c r="AT26" s="518"/>
      <c r="AU26" s="53">
        <v>0</v>
      </c>
      <c r="AV26" s="52"/>
      <c r="AW26" s="53"/>
      <c r="AX26" s="518"/>
      <c r="AY26" s="518"/>
      <c r="AZ26" s="53">
        <v>0</v>
      </c>
      <c r="BA26" s="52"/>
      <c r="BB26" s="53"/>
      <c r="BC26" s="518"/>
      <c r="BD26" s="518"/>
      <c r="BE26" s="53">
        <v>0</v>
      </c>
      <c r="BF26" s="52"/>
      <c r="BG26" s="53"/>
      <c r="BH26" s="518"/>
      <c r="BI26" s="518"/>
      <c r="BJ26" s="53">
        <v>0</v>
      </c>
      <c r="BK26" s="52"/>
      <c r="BL26" s="53"/>
      <c r="BM26" s="518"/>
      <c r="BN26" s="518"/>
      <c r="BO26" s="53">
        <v>0</v>
      </c>
      <c r="BP26" s="52"/>
      <c r="BQ26" s="53"/>
      <c r="BR26" s="518"/>
      <c r="BS26" s="518"/>
      <c r="BT26" s="53">
        <f>SUM(L26:BO26)</f>
        <v>2422566</v>
      </c>
      <c r="BU26" s="52"/>
      <c r="BV26" s="54"/>
      <c r="BW26" s="465"/>
      <c r="BX26" s="410"/>
      <c r="BY26" s="410"/>
    </row>
    <row r="27" spans="1:77" x14ac:dyDescent="0.2">
      <c r="A27" s="377"/>
      <c r="B27" s="377"/>
      <c r="D27" s="465" t="s">
        <v>457</v>
      </c>
      <c r="E27" s="417"/>
      <c r="F27" s="478"/>
      <c r="G27" s="102">
        <v>0</v>
      </c>
      <c r="H27" s="101"/>
      <c r="I27" s="53"/>
      <c r="J27" s="518"/>
      <c r="K27" s="522"/>
      <c r="L27" s="102">
        <v>0</v>
      </c>
      <c r="M27" s="101"/>
      <c r="N27" s="53"/>
      <c r="O27" s="518"/>
      <c r="P27" s="522"/>
      <c r="Q27" s="102">
        <v>0</v>
      </c>
      <c r="R27" s="101"/>
      <c r="S27" s="53"/>
      <c r="T27" s="518"/>
      <c r="U27" s="522"/>
      <c r="V27" s="102">
        <v>0</v>
      </c>
      <c r="W27" s="101"/>
      <c r="X27" s="53"/>
      <c r="Y27" s="518"/>
      <c r="Z27" s="522"/>
      <c r="AA27" s="102">
        <v>0</v>
      </c>
      <c r="AB27" s="101"/>
      <c r="AC27" s="53"/>
      <c r="AD27" s="518"/>
      <c r="AE27" s="522"/>
      <c r="AF27" s="102">
        <v>0</v>
      </c>
      <c r="AG27" s="101"/>
      <c r="AH27" s="53"/>
      <c r="AI27" s="518"/>
      <c r="AJ27" s="522"/>
      <c r="AK27" s="102">
        <v>0</v>
      </c>
      <c r="AL27" s="101"/>
      <c r="AM27" s="53"/>
      <c r="AN27" s="518"/>
      <c r="AO27" s="522"/>
      <c r="AP27" s="102">
        <v>0</v>
      </c>
      <c r="AQ27" s="101"/>
      <c r="AR27" s="53"/>
      <c r="AS27" s="518"/>
      <c r="AT27" s="522"/>
      <c r="AU27" s="102">
        <v>0</v>
      </c>
      <c r="AV27" s="101"/>
      <c r="AW27" s="53"/>
      <c r="AX27" s="518"/>
      <c r="AY27" s="522"/>
      <c r="AZ27" s="102">
        <v>0</v>
      </c>
      <c r="BA27" s="101"/>
      <c r="BB27" s="53"/>
      <c r="BC27" s="518"/>
      <c r="BD27" s="522"/>
      <c r="BE27" s="102">
        <v>0</v>
      </c>
      <c r="BF27" s="101"/>
      <c r="BG27" s="53"/>
      <c r="BH27" s="518"/>
      <c r="BI27" s="522"/>
      <c r="BJ27" s="102">
        <v>0</v>
      </c>
      <c r="BK27" s="101"/>
      <c r="BL27" s="53"/>
      <c r="BM27" s="518"/>
      <c r="BN27" s="522"/>
      <c r="BO27" s="102">
        <v>0</v>
      </c>
      <c r="BP27" s="101"/>
      <c r="BQ27" s="53"/>
      <c r="BR27" s="518"/>
      <c r="BS27" s="522"/>
      <c r="BT27" s="102">
        <f t="shared" si="0"/>
        <v>0</v>
      </c>
      <c r="BU27" s="101"/>
      <c r="BV27" s="54"/>
      <c r="BW27" s="465"/>
      <c r="BX27" s="410"/>
      <c r="BY27" s="410"/>
    </row>
    <row r="28" spans="1:77" ht="12.75" hidden="1" customHeight="1" x14ac:dyDescent="0.2">
      <c r="A28" s="377"/>
      <c r="B28" s="377"/>
      <c r="D28" s="465" t="s">
        <v>458</v>
      </c>
      <c r="E28" s="417"/>
      <c r="F28" s="478"/>
      <c r="G28" s="102">
        <v>0</v>
      </c>
      <c r="H28" s="101"/>
      <c r="I28" s="53"/>
      <c r="J28" s="518"/>
      <c r="K28" s="522"/>
      <c r="L28" s="102">
        <v>0</v>
      </c>
      <c r="M28" s="101"/>
      <c r="N28" s="53"/>
      <c r="O28" s="518"/>
      <c r="P28" s="522"/>
      <c r="Q28" s="102">
        <v>0</v>
      </c>
      <c r="R28" s="101"/>
      <c r="S28" s="53"/>
      <c r="T28" s="518"/>
      <c r="U28" s="522"/>
      <c r="V28" s="102">
        <v>0</v>
      </c>
      <c r="W28" s="101"/>
      <c r="X28" s="53"/>
      <c r="Y28" s="518"/>
      <c r="Z28" s="522"/>
      <c r="AA28" s="102">
        <v>0</v>
      </c>
      <c r="AB28" s="101"/>
      <c r="AC28" s="53"/>
      <c r="AD28" s="518"/>
      <c r="AE28" s="522"/>
      <c r="AF28" s="102">
        <v>0</v>
      </c>
      <c r="AG28" s="101"/>
      <c r="AH28" s="53"/>
      <c r="AI28" s="518"/>
      <c r="AJ28" s="522"/>
      <c r="AK28" s="102">
        <v>0</v>
      </c>
      <c r="AL28" s="101"/>
      <c r="AM28" s="53"/>
      <c r="AN28" s="518"/>
      <c r="AO28" s="522"/>
      <c r="AP28" s="102">
        <v>0</v>
      </c>
      <c r="AQ28" s="101"/>
      <c r="AR28" s="53"/>
      <c r="AS28" s="518"/>
      <c r="AT28" s="522"/>
      <c r="AU28" s="102">
        <v>0</v>
      </c>
      <c r="AV28" s="101"/>
      <c r="AW28" s="53"/>
      <c r="AX28" s="518"/>
      <c r="AY28" s="522"/>
      <c r="AZ28" s="102">
        <v>0</v>
      </c>
      <c r="BA28" s="101"/>
      <c r="BB28" s="53"/>
      <c r="BC28" s="518"/>
      <c r="BD28" s="522"/>
      <c r="BE28" s="102">
        <v>0</v>
      </c>
      <c r="BF28" s="101"/>
      <c r="BG28" s="53"/>
      <c r="BH28" s="518"/>
      <c r="BI28" s="522"/>
      <c r="BJ28" s="102">
        <v>0</v>
      </c>
      <c r="BK28" s="101"/>
      <c r="BL28" s="53"/>
      <c r="BM28" s="518"/>
      <c r="BN28" s="522"/>
      <c r="BO28" s="102">
        <v>0</v>
      </c>
      <c r="BP28" s="101"/>
      <c r="BQ28" s="53"/>
      <c r="BR28" s="518"/>
      <c r="BS28" s="522"/>
      <c r="BT28" s="102">
        <f t="shared" si="0"/>
        <v>0</v>
      </c>
      <c r="BU28" s="101"/>
      <c r="BV28" s="54"/>
      <c r="BW28" s="465"/>
      <c r="BX28" s="410"/>
      <c r="BY28" s="410"/>
    </row>
    <row r="29" spans="1:77" x14ac:dyDescent="0.2">
      <c r="A29" s="377"/>
      <c r="B29" s="377"/>
      <c r="D29" s="465"/>
      <c r="E29" s="417"/>
      <c r="F29" s="377"/>
      <c r="G29" s="53"/>
      <c r="H29" s="53"/>
      <c r="I29" s="53"/>
      <c r="J29" s="518"/>
      <c r="K29" s="53"/>
      <c r="L29" s="53"/>
      <c r="M29" s="53"/>
      <c r="N29" s="53"/>
      <c r="O29" s="518"/>
      <c r="P29" s="53"/>
      <c r="Q29" s="53"/>
      <c r="R29" s="53"/>
      <c r="S29" s="53"/>
      <c r="T29" s="518"/>
      <c r="U29" s="53"/>
      <c r="V29" s="53"/>
      <c r="W29" s="53"/>
      <c r="X29" s="53"/>
      <c r="Y29" s="518"/>
      <c r="Z29" s="53"/>
      <c r="AA29" s="53"/>
      <c r="AB29" s="53"/>
      <c r="AC29" s="53"/>
      <c r="AD29" s="518"/>
      <c r="AE29" s="53"/>
      <c r="AF29" s="53"/>
      <c r="AG29" s="53"/>
      <c r="AH29" s="53"/>
      <c r="AI29" s="518"/>
      <c r="AJ29" s="53"/>
      <c r="AK29" s="53"/>
      <c r="AL29" s="53"/>
      <c r="AM29" s="53"/>
      <c r="AN29" s="518"/>
      <c r="AO29" s="53"/>
      <c r="AP29" s="53"/>
      <c r="AQ29" s="53"/>
      <c r="AR29" s="53"/>
      <c r="AS29" s="518"/>
      <c r="AT29" s="53"/>
      <c r="AU29" s="53"/>
      <c r="AV29" s="53"/>
      <c r="AW29" s="53"/>
      <c r="AX29" s="518"/>
      <c r="AY29" s="53"/>
      <c r="AZ29" s="53"/>
      <c r="BA29" s="53"/>
      <c r="BB29" s="53"/>
      <c r="BC29" s="518"/>
      <c r="BD29" s="53"/>
      <c r="BE29" s="53"/>
      <c r="BF29" s="53"/>
      <c r="BG29" s="53"/>
      <c r="BH29" s="518"/>
      <c r="BI29" s="53"/>
      <c r="BJ29" s="53"/>
      <c r="BK29" s="53"/>
      <c r="BL29" s="53"/>
      <c r="BM29" s="518"/>
      <c r="BN29" s="53"/>
      <c r="BO29" s="53"/>
      <c r="BP29" s="53"/>
      <c r="BQ29" s="53"/>
      <c r="BR29" s="518"/>
      <c r="BS29" s="53"/>
      <c r="BT29" s="53"/>
      <c r="BU29" s="53"/>
      <c r="BV29" s="54"/>
      <c r="BW29" s="465"/>
      <c r="BX29" s="410"/>
      <c r="BY29" s="410"/>
    </row>
    <row r="30" spans="1:77" s="410" customFormat="1" x14ac:dyDescent="0.2">
      <c r="A30" s="411"/>
      <c r="B30" s="411"/>
      <c r="D30" s="455" t="s">
        <v>459</v>
      </c>
      <c r="E30" s="485"/>
      <c r="F30" s="411"/>
      <c r="G30" s="42">
        <f>SUM(G31:G33)</f>
        <v>0</v>
      </c>
      <c r="H30" s="42"/>
      <c r="I30" s="42"/>
      <c r="J30" s="523"/>
      <c r="K30" s="42"/>
      <c r="L30" s="42">
        <f>SUM(L31:L33)</f>
        <v>0</v>
      </c>
      <c r="M30" s="42"/>
      <c r="N30" s="42"/>
      <c r="O30" s="523"/>
      <c r="P30" s="42"/>
      <c r="Q30" s="42">
        <f>SUM(Q31:Q33)</f>
        <v>0</v>
      </c>
      <c r="R30" s="42"/>
      <c r="S30" s="42"/>
      <c r="T30" s="523"/>
      <c r="U30" s="42"/>
      <c r="V30" s="42">
        <f>SUM(V31:V33)</f>
        <v>0</v>
      </c>
      <c r="W30" s="42"/>
      <c r="X30" s="42"/>
      <c r="Y30" s="523"/>
      <c r="Z30" s="42"/>
      <c r="AA30" s="42">
        <f>SUM(AA31:AA33)</f>
        <v>0</v>
      </c>
      <c r="AB30" s="42"/>
      <c r="AC30" s="42"/>
      <c r="AD30" s="523"/>
      <c r="AE30" s="42"/>
      <c r="AF30" s="42">
        <f>SUM(AF31:AF33)</f>
        <v>0</v>
      </c>
      <c r="AG30" s="42"/>
      <c r="AH30" s="42"/>
      <c r="AI30" s="523"/>
      <c r="AJ30" s="42"/>
      <c r="AK30" s="42">
        <f>SUM(AK31:AK33)</f>
        <v>0</v>
      </c>
      <c r="AL30" s="42"/>
      <c r="AM30" s="42"/>
      <c r="AN30" s="523"/>
      <c r="AO30" s="42"/>
      <c r="AP30" s="42">
        <f>SUM(AP31:AP33)</f>
        <v>0</v>
      </c>
      <c r="AQ30" s="42"/>
      <c r="AR30" s="42"/>
      <c r="AS30" s="523"/>
      <c r="AT30" s="42"/>
      <c r="AU30" s="42">
        <f>SUM(AU31:AU33)</f>
        <v>0</v>
      </c>
      <c r="AV30" s="42"/>
      <c r="AW30" s="42"/>
      <c r="AX30" s="523"/>
      <c r="AY30" s="42"/>
      <c r="AZ30" s="42">
        <f>SUM(AZ31:AZ33)</f>
        <v>0</v>
      </c>
      <c r="BA30" s="42"/>
      <c r="BB30" s="42"/>
      <c r="BC30" s="523"/>
      <c r="BD30" s="42"/>
      <c r="BE30" s="42">
        <f>SUM(BE31:BE33)</f>
        <v>0</v>
      </c>
      <c r="BF30" s="42"/>
      <c r="BG30" s="42"/>
      <c r="BH30" s="523"/>
      <c r="BI30" s="42"/>
      <c r="BJ30" s="42">
        <f>SUM(BJ31:BJ33)</f>
        <v>0</v>
      </c>
      <c r="BK30" s="42"/>
      <c r="BL30" s="42"/>
      <c r="BM30" s="523"/>
      <c r="BN30" s="42"/>
      <c r="BO30" s="42">
        <f>SUM(BO31:BO33)</f>
        <v>0</v>
      </c>
      <c r="BP30" s="42"/>
      <c r="BQ30" s="42"/>
      <c r="BR30" s="523"/>
      <c r="BS30" s="377"/>
      <c r="BT30" s="42">
        <f>SUM(BT31:BT33)</f>
        <v>0</v>
      </c>
      <c r="BU30" s="53"/>
      <c r="BV30" s="58"/>
      <c r="BW30" s="455"/>
    </row>
    <row r="31" spans="1:77" x14ac:dyDescent="0.2">
      <c r="A31" s="377"/>
      <c r="B31" s="377"/>
      <c r="D31" s="465" t="s">
        <v>378</v>
      </c>
      <c r="E31" s="417"/>
      <c r="F31" s="469"/>
      <c r="G31" s="520">
        <f>G36+G41+G51+G61+G46+G56</f>
        <v>0</v>
      </c>
      <c r="H31" s="521"/>
      <c r="I31" s="53"/>
      <c r="J31" s="518"/>
      <c r="K31" s="519"/>
      <c r="L31" s="520">
        <v>0</v>
      </c>
      <c r="M31" s="521"/>
      <c r="N31" s="53"/>
      <c r="O31" s="518"/>
      <c r="P31" s="519"/>
      <c r="Q31" s="520">
        <f>Q36+Q41+Q51+Q61+Q46+Q56</f>
        <v>0</v>
      </c>
      <c r="R31" s="521"/>
      <c r="S31" s="53"/>
      <c r="T31" s="49"/>
      <c r="U31" s="519"/>
      <c r="V31" s="520">
        <v>0</v>
      </c>
      <c r="W31" s="521"/>
      <c r="X31" s="53"/>
      <c r="Y31" s="518"/>
      <c r="Z31" s="519"/>
      <c r="AA31" s="520">
        <v>0</v>
      </c>
      <c r="AB31" s="521"/>
      <c r="AC31" s="53"/>
      <c r="AD31" s="518"/>
      <c r="AE31" s="519"/>
      <c r="AF31" s="520">
        <v>0</v>
      </c>
      <c r="AG31" s="521"/>
      <c r="AH31" s="53"/>
      <c r="AI31" s="518"/>
      <c r="AJ31" s="519"/>
      <c r="AK31" s="520">
        <v>0</v>
      </c>
      <c r="AL31" s="521"/>
      <c r="AM31" s="53"/>
      <c r="AN31" s="518"/>
      <c r="AO31" s="519"/>
      <c r="AP31" s="520">
        <v>0</v>
      </c>
      <c r="AQ31" s="521"/>
      <c r="AR31" s="53"/>
      <c r="AS31" s="518"/>
      <c r="AT31" s="519"/>
      <c r="AU31" s="520">
        <v>0</v>
      </c>
      <c r="AV31" s="521"/>
      <c r="AW31" s="53"/>
      <c r="AX31" s="518"/>
      <c r="AY31" s="519"/>
      <c r="AZ31" s="520">
        <v>0</v>
      </c>
      <c r="BA31" s="521"/>
      <c r="BB31" s="53"/>
      <c r="BC31" s="518"/>
      <c r="BD31" s="519"/>
      <c r="BE31" s="520">
        <v>0</v>
      </c>
      <c r="BF31" s="521"/>
      <c r="BG31" s="53"/>
      <c r="BH31" s="518"/>
      <c r="BI31" s="519"/>
      <c r="BJ31" s="520">
        <v>0</v>
      </c>
      <c r="BK31" s="521"/>
      <c r="BL31" s="53"/>
      <c r="BM31" s="518"/>
      <c r="BN31" s="519"/>
      <c r="BO31" s="520">
        <v>0</v>
      </c>
      <c r="BP31" s="521"/>
      <c r="BQ31" s="53"/>
      <c r="BR31" s="518"/>
      <c r="BS31" s="469"/>
      <c r="BT31" s="520">
        <f>BT36+BT41+BT51+BT61+BT46+BT56</f>
        <v>0</v>
      </c>
      <c r="BU31" s="521"/>
      <c r="BV31" s="54"/>
      <c r="BW31" s="465"/>
      <c r="BX31" s="410"/>
      <c r="BY31" s="410"/>
    </row>
    <row r="32" spans="1:77" x14ac:dyDescent="0.2">
      <c r="A32" s="377"/>
      <c r="B32" s="377"/>
      <c r="D32" s="465" t="s">
        <v>460</v>
      </c>
      <c r="E32" s="417"/>
      <c r="F32" s="417"/>
      <c r="G32" s="53">
        <v>0</v>
      </c>
      <c r="H32" s="52"/>
      <c r="I32" s="53"/>
      <c r="J32" s="518"/>
      <c r="K32" s="518"/>
      <c r="L32" s="53">
        <v>0</v>
      </c>
      <c r="M32" s="52"/>
      <c r="N32" s="53"/>
      <c r="O32" s="518"/>
      <c r="P32" s="518"/>
      <c r="Q32" s="53">
        <v>0</v>
      </c>
      <c r="R32" s="52"/>
      <c r="S32" s="53"/>
      <c r="T32" s="49"/>
      <c r="U32" s="518"/>
      <c r="V32" s="53">
        <v>0</v>
      </c>
      <c r="W32" s="52"/>
      <c r="X32" s="53"/>
      <c r="Y32" s="518"/>
      <c r="Z32" s="518"/>
      <c r="AA32" s="53">
        <v>0</v>
      </c>
      <c r="AB32" s="52"/>
      <c r="AC32" s="53"/>
      <c r="AD32" s="518"/>
      <c r="AE32" s="518"/>
      <c r="AF32" s="53">
        <v>0</v>
      </c>
      <c r="AG32" s="52"/>
      <c r="AH32" s="53"/>
      <c r="AI32" s="518"/>
      <c r="AJ32" s="518"/>
      <c r="AK32" s="53">
        <v>0</v>
      </c>
      <c r="AL32" s="52"/>
      <c r="AM32" s="53"/>
      <c r="AN32" s="518"/>
      <c r="AO32" s="518"/>
      <c r="AP32" s="53">
        <v>0</v>
      </c>
      <c r="AQ32" s="52"/>
      <c r="AR32" s="53"/>
      <c r="AS32" s="518"/>
      <c r="AT32" s="518"/>
      <c r="AU32" s="53">
        <v>0</v>
      </c>
      <c r="AV32" s="52"/>
      <c r="AW32" s="53"/>
      <c r="AX32" s="518"/>
      <c r="AY32" s="518"/>
      <c r="AZ32" s="53">
        <v>0</v>
      </c>
      <c r="BA32" s="52"/>
      <c r="BB32" s="53"/>
      <c r="BC32" s="518"/>
      <c r="BD32" s="518"/>
      <c r="BE32" s="53">
        <v>0</v>
      </c>
      <c r="BF32" s="52"/>
      <c r="BG32" s="53"/>
      <c r="BH32" s="518"/>
      <c r="BI32" s="518"/>
      <c r="BJ32" s="53">
        <v>0</v>
      </c>
      <c r="BK32" s="52"/>
      <c r="BL32" s="53"/>
      <c r="BM32" s="518"/>
      <c r="BN32" s="518"/>
      <c r="BO32" s="53">
        <v>0</v>
      </c>
      <c r="BP32" s="52"/>
      <c r="BQ32" s="53"/>
      <c r="BR32" s="518"/>
      <c r="BS32" s="417"/>
      <c r="BT32" s="53">
        <f>BT37+BT42+BT52+BT62+BT47+BT57</f>
        <v>0</v>
      </c>
      <c r="BU32" s="52"/>
      <c r="BV32" s="54"/>
      <c r="BW32" s="465"/>
      <c r="BX32" s="410"/>
      <c r="BY32" s="410"/>
    </row>
    <row r="33" spans="1:77" x14ac:dyDescent="0.2">
      <c r="A33" s="377"/>
      <c r="B33" s="377"/>
      <c r="D33" s="465" t="s">
        <v>461</v>
      </c>
      <c r="E33" s="417"/>
      <c r="F33" s="478"/>
      <c r="G33" s="102">
        <v>0</v>
      </c>
      <c r="H33" s="101"/>
      <c r="I33" s="53"/>
      <c r="J33" s="518"/>
      <c r="K33" s="522"/>
      <c r="L33" s="102">
        <v>0</v>
      </c>
      <c r="M33" s="101"/>
      <c r="N33" s="53"/>
      <c r="O33" s="518"/>
      <c r="P33" s="522"/>
      <c r="Q33" s="102">
        <v>0</v>
      </c>
      <c r="R33" s="101"/>
      <c r="S33" s="53"/>
      <c r="T33" s="49"/>
      <c r="U33" s="522"/>
      <c r="V33" s="102">
        <v>0</v>
      </c>
      <c r="W33" s="101"/>
      <c r="X33" s="53"/>
      <c r="Y33" s="518"/>
      <c r="Z33" s="522"/>
      <c r="AA33" s="102">
        <v>0</v>
      </c>
      <c r="AB33" s="101"/>
      <c r="AC33" s="53"/>
      <c r="AD33" s="518"/>
      <c r="AE33" s="522"/>
      <c r="AF33" s="102">
        <v>0</v>
      </c>
      <c r="AG33" s="101"/>
      <c r="AH33" s="53"/>
      <c r="AI33" s="518"/>
      <c r="AJ33" s="522"/>
      <c r="AK33" s="102">
        <v>0</v>
      </c>
      <c r="AL33" s="101"/>
      <c r="AM33" s="53"/>
      <c r="AN33" s="518"/>
      <c r="AO33" s="522"/>
      <c r="AP33" s="102">
        <v>0</v>
      </c>
      <c r="AQ33" s="101"/>
      <c r="AR33" s="53"/>
      <c r="AS33" s="518"/>
      <c r="AT33" s="522"/>
      <c r="AU33" s="102">
        <v>0</v>
      </c>
      <c r="AV33" s="101"/>
      <c r="AW33" s="53"/>
      <c r="AX33" s="518"/>
      <c r="AY33" s="522"/>
      <c r="AZ33" s="102">
        <v>0</v>
      </c>
      <c r="BA33" s="101"/>
      <c r="BB33" s="53"/>
      <c r="BC33" s="518"/>
      <c r="BD33" s="522"/>
      <c r="BE33" s="102">
        <v>0</v>
      </c>
      <c r="BF33" s="101"/>
      <c r="BG33" s="53"/>
      <c r="BH33" s="518"/>
      <c r="BI33" s="522"/>
      <c r="BJ33" s="102">
        <v>0</v>
      </c>
      <c r="BK33" s="101"/>
      <c r="BL33" s="53"/>
      <c r="BM33" s="518"/>
      <c r="BN33" s="522"/>
      <c r="BO33" s="102">
        <v>0</v>
      </c>
      <c r="BP33" s="101"/>
      <c r="BQ33" s="53"/>
      <c r="BR33" s="518"/>
      <c r="BS33" s="478"/>
      <c r="BT33" s="102">
        <f>BT38+BT43+BT53+BT63+BT48+BT58</f>
        <v>0</v>
      </c>
      <c r="BU33" s="101"/>
      <c r="BV33" s="54"/>
      <c r="BW33" s="465"/>
      <c r="BX33" s="410"/>
      <c r="BY33" s="410"/>
    </row>
    <row r="34" spans="1:77" ht="12.75" hidden="1" customHeight="1" x14ac:dyDescent="0.2">
      <c r="A34" s="377"/>
      <c r="B34" s="377"/>
      <c r="D34" s="465"/>
      <c r="E34" s="417"/>
      <c r="F34" s="377"/>
      <c r="G34" s="53"/>
      <c r="H34" s="53"/>
      <c r="I34" s="53"/>
      <c r="J34" s="518"/>
      <c r="K34" s="53"/>
      <c r="L34" s="53"/>
      <c r="M34" s="53"/>
      <c r="N34" s="53"/>
      <c r="O34" s="518"/>
      <c r="P34" s="53"/>
      <c r="Q34" s="53"/>
      <c r="R34" s="53"/>
      <c r="S34" s="53"/>
      <c r="T34" s="518"/>
      <c r="U34" s="53"/>
      <c r="V34" s="53"/>
      <c r="W34" s="53"/>
      <c r="X34" s="53"/>
      <c r="Y34" s="518"/>
      <c r="Z34" s="53"/>
      <c r="AA34" s="53"/>
      <c r="AB34" s="53"/>
      <c r="AC34" s="53"/>
      <c r="AD34" s="518"/>
      <c r="AE34" s="53"/>
      <c r="AF34" s="53"/>
      <c r="AG34" s="53"/>
      <c r="AH34" s="53"/>
      <c r="AI34" s="518"/>
      <c r="AJ34" s="53"/>
      <c r="AK34" s="53"/>
      <c r="AL34" s="53"/>
      <c r="AM34" s="53"/>
      <c r="AN34" s="518"/>
      <c r="AO34" s="53"/>
      <c r="AP34" s="53"/>
      <c r="AQ34" s="53"/>
      <c r="AR34" s="53"/>
      <c r="AS34" s="518"/>
      <c r="AT34" s="53"/>
      <c r="AU34" s="53"/>
      <c r="AV34" s="53"/>
      <c r="AW34" s="53"/>
      <c r="AX34" s="518"/>
      <c r="AY34" s="53"/>
      <c r="AZ34" s="53"/>
      <c r="BA34" s="53"/>
      <c r="BB34" s="53"/>
      <c r="BC34" s="518"/>
      <c r="BD34" s="53"/>
      <c r="BE34" s="53"/>
      <c r="BF34" s="53"/>
      <c r="BG34" s="53"/>
      <c r="BH34" s="518"/>
      <c r="BI34" s="53"/>
      <c r="BJ34" s="53"/>
      <c r="BK34" s="53"/>
      <c r="BL34" s="53"/>
      <c r="BM34" s="518"/>
      <c r="BN34" s="53"/>
      <c r="BO34" s="53"/>
      <c r="BP34" s="53"/>
      <c r="BQ34" s="53"/>
      <c r="BR34" s="518"/>
      <c r="BS34" s="53"/>
      <c r="BT34" s="53"/>
      <c r="BU34" s="53"/>
      <c r="BV34" s="54"/>
      <c r="BW34" s="465"/>
      <c r="BX34" s="410"/>
      <c r="BY34" s="410"/>
    </row>
    <row r="35" spans="1:77" ht="12.75" hidden="1" customHeight="1" x14ac:dyDescent="0.2">
      <c r="A35" s="377"/>
      <c r="B35" s="377"/>
      <c r="D35" s="465" t="s">
        <v>462</v>
      </c>
      <c r="E35" s="417"/>
      <c r="F35" s="377"/>
      <c r="G35" s="53">
        <v>0</v>
      </c>
      <c r="H35" s="53"/>
      <c r="I35" s="53"/>
      <c r="J35" s="518"/>
      <c r="K35" s="377"/>
      <c r="L35" s="53">
        <f>SUM(L36:L38)</f>
        <v>0</v>
      </c>
      <c r="M35" s="53"/>
      <c r="N35" s="53"/>
      <c r="O35" s="518"/>
      <c r="P35" s="377"/>
      <c r="Q35" s="53">
        <f>SUM(Q36:Q38)</f>
        <v>0</v>
      </c>
      <c r="R35" s="53"/>
      <c r="S35" s="53"/>
      <c r="T35" s="518"/>
      <c r="U35" s="377"/>
      <c r="V35" s="53">
        <f>SUM(V36:V38)</f>
        <v>0</v>
      </c>
      <c r="W35" s="53"/>
      <c r="X35" s="53"/>
      <c r="Y35" s="518"/>
      <c r="Z35" s="377"/>
      <c r="AA35" s="53">
        <f>SUM(AA36:AA38)</f>
        <v>0</v>
      </c>
      <c r="AB35" s="53"/>
      <c r="AC35" s="53"/>
      <c r="AD35" s="518"/>
      <c r="AE35" s="377"/>
      <c r="AF35" s="53">
        <f>SUM(AF36:AF38)</f>
        <v>0</v>
      </c>
      <c r="AG35" s="53"/>
      <c r="AH35" s="53"/>
      <c r="AI35" s="518"/>
      <c r="AJ35" s="377"/>
      <c r="AK35" s="53">
        <f>SUM(AK36:AK38)</f>
        <v>0</v>
      </c>
      <c r="AL35" s="53"/>
      <c r="AM35" s="53"/>
      <c r="AN35" s="518"/>
      <c r="AO35" s="377"/>
      <c r="AP35" s="53">
        <f>SUM(AP36:AP38)</f>
        <v>0</v>
      </c>
      <c r="AQ35" s="53"/>
      <c r="AR35" s="53"/>
      <c r="AS35" s="518"/>
      <c r="AT35" s="377"/>
      <c r="AU35" s="53">
        <f>SUM(AU36:AU38)</f>
        <v>0</v>
      </c>
      <c r="AV35" s="53"/>
      <c r="AW35" s="53"/>
      <c r="AX35" s="518"/>
      <c r="AY35" s="377"/>
      <c r="AZ35" s="53">
        <f>SUM(AZ36:AZ38)</f>
        <v>0</v>
      </c>
      <c r="BA35" s="53"/>
      <c r="BB35" s="53"/>
      <c r="BC35" s="518"/>
      <c r="BD35" s="377"/>
      <c r="BE35" s="53">
        <f>SUM(BE36:BE38)</f>
        <v>0</v>
      </c>
      <c r="BF35" s="53"/>
      <c r="BG35" s="53"/>
      <c r="BH35" s="518"/>
      <c r="BI35" s="377"/>
      <c r="BJ35" s="53">
        <f>SUM(BJ36:BJ38)</f>
        <v>0</v>
      </c>
      <c r="BK35" s="53"/>
      <c r="BL35" s="53"/>
      <c r="BM35" s="518"/>
      <c r="BN35" s="377"/>
      <c r="BO35" s="53">
        <f>SUM(BO36:BO38)</f>
        <v>0</v>
      </c>
      <c r="BP35" s="53"/>
      <c r="BQ35" s="53"/>
      <c r="BR35" s="518"/>
      <c r="BS35" s="377"/>
      <c r="BT35" s="102">
        <f>SUM(BT36:BT38)</f>
        <v>0</v>
      </c>
      <c r="BU35" s="53"/>
      <c r="BV35" s="54"/>
      <c r="BW35" s="465"/>
      <c r="BX35" s="410"/>
      <c r="BY35" s="410"/>
    </row>
    <row r="36" spans="1:77" ht="12.75" hidden="1" customHeight="1" x14ac:dyDescent="0.2">
      <c r="A36" s="377"/>
      <c r="B36" s="377"/>
      <c r="D36" s="465" t="s">
        <v>378</v>
      </c>
      <c r="E36" s="417"/>
      <c r="F36" s="469"/>
      <c r="G36" s="520">
        <v>0</v>
      </c>
      <c r="H36" s="521"/>
      <c r="I36" s="53"/>
      <c r="J36" s="518"/>
      <c r="K36" s="469"/>
      <c r="L36" s="520">
        <v>0</v>
      </c>
      <c r="M36" s="521"/>
      <c r="N36" s="53"/>
      <c r="O36" s="518"/>
      <c r="P36" s="469"/>
      <c r="Q36" s="520">
        <v>0</v>
      </c>
      <c r="R36" s="521"/>
      <c r="S36" s="53"/>
      <c r="T36" s="518"/>
      <c r="U36" s="469"/>
      <c r="V36" s="520">
        <v>0</v>
      </c>
      <c r="W36" s="521"/>
      <c r="X36" s="53"/>
      <c r="Y36" s="518"/>
      <c r="Z36" s="469"/>
      <c r="AA36" s="520">
        <v>0</v>
      </c>
      <c r="AB36" s="521"/>
      <c r="AC36" s="53"/>
      <c r="AD36" s="518"/>
      <c r="AE36" s="469"/>
      <c r="AF36" s="520">
        <v>0</v>
      </c>
      <c r="AG36" s="521"/>
      <c r="AH36" s="53"/>
      <c r="AI36" s="518"/>
      <c r="AJ36" s="469"/>
      <c r="AK36" s="520">
        <v>0</v>
      </c>
      <c r="AL36" s="521"/>
      <c r="AM36" s="53"/>
      <c r="AN36" s="518"/>
      <c r="AO36" s="469"/>
      <c r="AP36" s="520">
        <v>0</v>
      </c>
      <c r="AQ36" s="521"/>
      <c r="AR36" s="53"/>
      <c r="AS36" s="518"/>
      <c r="AT36" s="469"/>
      <c r="AU36" s="520">
        <v>0</v>
      </c>
      <c r="AV36" s="521"/>
      <c r="AW36" s="53"/>
      <c r="AX36" s="518"/>
      <c r="AY36" s="469"/>
      <c r="AZ36" s="520">
        <v>0</v>
      </c>
      <c r="BA36" s="521"/>
      <c r="BB36" s="53"/>
      <c r="BC36" s="518"/>
      <c r="BD36" s="469"/>
      <c r="BE36" s="520">
        <v>0</v>
      </c>
      <c r="BF36" s="521"/>
      <c r="BG36" s="53"/>
      <c r="BH36" s="518"/>
      <c r="BI36" s="469"/>
      <c r="BJ36" s="520">
        <v>0</v>
      </c>
      <c r="BK36" s="521"/>
      <c r="BL36" s="53"/>
      <c r="BM36" s="518"/>
      <c r="BN36" s="469"/>
      <c r="BO36" s="520">
        <v>0</v>
      </c>
      <c r="BP36" s="521"/>
      <c r="BQ36" s="53"/>
      <c r="BR36" s="518"/>
      <c r="BS36" s="469"/>
      <c r="BT36" s="53">
        <f>SUM(L36:BO36)</f>
        <v>0</v>
      </c>
      <c r="BU36" s="521"/>
      <c r="BV36" s="54"/>
      <c r="BW36" s="465"/>
      <c r="BX36" s="410"/>
      <c r="BY36" s="410"/>
    </row>
    <row r="37" spans="1:77" ht="12.75" hidden="1" customHeight="1" x14ac:dyDescent="0.2">
      <c r="A37" s="377"/>
      <c r="B37" s="377"/>
      <c r="D37" s="465" t="s">
        <v>460</v>
      </c>
      <c r="E37" s="417"/>
      <c r="F37" s="417"/>
      <c r="G37" s="53">
        <v>0</v>
      </c>
      <c r="H37" s="52"/>
      <c r="I37" s="53"/>
      <c r="J37" s="518"/>
      <c r="K37" s="417"/>
      <c r="L37" s="53">
        <v>0</v>
      </c>
      <c r="M37" s="52"/>
      <c r="N37" s="53"/>
      <c r="O37" s="518"/>
      <c r="P37" s="417"/>
      <c r="Q37" s="53">
        <v>0</v>
      </c>
      <c r="R37" s="52"/>
      <c r="S37" s="53"/>
      <c r="T37" s="518"/>
      <c r="U37" s="417"/>
      <c r="V37" s="53">
        <v>0</v>
      </c>
      <c r="W37" s="52"/>
      <c r="X37" s="53"/>
      <c r="Y37" s="518"/>
      <c r="Z37" s="417"/>
      <c r="AA37" s="53">
        <v>0</v>
      </c>
      <c r="AB37" s="52"/>
      <c r="AC37" s="53"/>
      <c r="AD37" s="518"/>
      <c r="AE37" s="417"/>
      <c r="AF37" s="53">
        <v>0</v>
      </c>
      <c r="AG37" s="52"/>
      <c r="AH37" s="53"/>
      <c r="AI37" s="518"/>
      <c r="AJ37" s="417"/>
      <c r="AK37" s="53">
        <v>0</v>
      </c>
      <c r="AL37" s="52"/>
      <c r="AM37" s="53"/>
      <c r="AN37" s="518"/>
      <c r="AO37" s="417"/>
      <c r="AP37" s="53">
        <v>0</v>
      </c>
      <c r="AQ37" s="52"/>
      <c r="AR37" s="53"/>
      <c r="AS37" s="518"/>
      <c r="AT37" s="417"/>
      <c r="AU37" s="53">
        <v>0</v>
      </c>
      <c r="AV37" s="52"/>
      <c r="AW37" s="53"/>
      <c r="AX37" s="518"/>
      <c r="AY37" s="417"/>
      <c r="AZ37" s="53">
        <v>0</v>
      </c>
      <c r="BA37" s="52"/>
      <c r="BB37" s="53"/>
      <c r="BC37" s="518"/>
      <c r="BD37" s="417"/>
      <c r="BE37" s="53">
        <v>0</v>
      </c>
      <c r="BF37" s="52"/>
      <c r="BG37" s="53"/>
      <c r="BH37" s="518"/>
      <c r="BI37" s="417"/>
      <c r="BJ37" s="53">
        <v>0</v>
      </c>
      <c r="BK37" s="52"/>
      <c r="BL37" s="53"/>
      <c r="BM37" s="518"/>
      <c r="BN37" s="417"/>
      <c r="BO37" s="53">
        <v>0</v>
      </c>
      <c r="BP37" s="52"/>
      <c r="BQ37" s="53"/>
      <c r="BR37" s="518"/>
      <c r="BS37" s="417"/>
      <c r="BT37" s="53">
        <f>SUM(L37:BO37)</f>
        <v>0</v>
      </c>
      <c r="BU37" s="52"/>
      <c r="BV37" s="54"/>
      <c r="BW37" s="465"/>
      <c r="BX37" s="410"/>
      <c r="BY37" s="410"/>
    </row>
    <row r="38" spans="1:77" ht="12.75" hidden="1" customHeight="1" x14ac:dyDescent="0.2">
      <c r="A38" s="377"/>
      <c r="B38" s="377"/>
      <c r="D38" s="465" t="s">
        <v>461</v>
      </c>
      <c r="E38" s="417"/>
      <c r="F38" s="478"/>
      <c r="G38" s="102">
        <v>0</v>
      </c>
      <c r="H38" s="101"/>
      <c r="I38" s="53"/>
      <c r="J38" s="518"/>
      <c r="K38" s="478"/>
      <c r="L38" s="102">
        <v>0</v>
      </c>
      <c r="M38" s="101"/>
      <c r="N38" s="53"/>
      <c r="O38" s="518"/>
      <c r="P38" s="478"/>
      <c r="Q38" s="102">
        <v>0</v>
      </c>
      <c r="R38" s="101"/>
      <c r="S38" s="53"/>
      <c r="T38" s="518"/>
      <c r="U38" s="478"/>
      <c r="V38" s="102">
        <v>0</v>
      </c>
      <c r="W38" s="101"/>
      <c r="X38" s="53"/>
      <c r="Y38" s="518"/>
      <c r="Z38" s="478"/>
      <c r="AA38" s="102">
        <v>0</v>
      </c>
      <c r="AB38" s="101"/>
      <c r="AC38" s="53"/>
      <c r="AD38" s="518"/>
      <c r="AE38" s="478"/>
      <c r="AF38" s="102">
        <v>0</v>
      </c>
      <c r="AG38" s="101"/>
      <c r="AH38" s="53"/>
      <c r="AI38" s="518"/>
      <c r="AJ38" s="478"/>
      <c r="AK38" s="102">
        <v>0</v>
      </c>
      <c r="AL38" s="101"/>
      <c r="AM38" s="53"/>
      <c r="AN38" s="518"/>
      <c r="AO38" s="478"/>
      <c r="AP38" s="102">
        <v>0</v>
      </c>
      <c r="AQ38" s="101"/>
      <c r="AR38" s="53"/>
      <c r="AS38" s="518"/>
      <c r="AT38" s="478"/>
      <c r="AU38" s="102">
        <v>0</v>
      </c>
      <c r="AV38" s="101"/>
      <c r="AW38" s="53"/>
      <c r="AX38" s="518"/>
      <c r="AY38" s="478"/>
      <c r="AZ38" s="102">
        <v>0</v>
      </c>
      <c r="BA38" s="101"/>
      <c r="BB38" s="53"/>
      <c r="BC38" s="518"/>
      <c r="BD38" s="478"/>
      <c r="BE38" s="102">
        <v>0</v>
      </c>
      <c r="BF38" s="101"/>
      <c r="BG38" s="53"/>
      <c r="BH38" s="518"/>
      <c r="BI38" s="478"/>
      <c r="BJ38" s="102">
        <v>0</v>
      </c>
      <c r="BK38" s="101"/>
      <c r="BL38" s="53"/>
      <c r="BM38" s="518"/>
      <c r="BN38" s="478"/>
      <c r="BO38" s="102">
        <v>0</v>
      </c>
      <c r="BP38" s="101"/>
      <c r="BQ38" s="53"/>
      <c r="BR38" s="518"/>
      <c r="BS38" s="478"/>
      <c r="BT38" s="102">
        <f>SUM(L38:BO38)</f>
        <v>0</v>
      </c>
      <c r="BU38" s="101"/>
      <c r="BV38" s="54"/>
      <c r="BW38" s="465"/>
      <c r="BX38" s="410"/>
      <c r="BY38" s="410"/>
    </row>
    <row r="39" spans="1:77" hidden="1" x14ac:dyDescent="0.2">
      <c r="A39" s="377"/>
      <c r="B39" s="377"/>
      <c r="D39" s="465"/>
      <c r="E39" s="417"/>
      <c r="F39" s="377"/>
      <c r="G39" s="53"/>
      <c r="H39" s="53"/>
      <c r="I39" s="53"/>
      <c r="J39" s="518"/>
      <c r="K39" s="53"/>
      <c r="L39" s="53"/>
      <c r="M39" s="53"/>
      <c r="N39" s="53"/>
      <c r="O39" s="518"/>
      <c r="P39" s="53"/>
      <c r="Q39" s="53"/>
      <c r="R39" s="53"/>
      <c r="S39" s="53"/>
      <c r="T39" s="518"/>
      <c r="U39" s="53"/>
      <c r="V39" s="53"/>
      <c r="W39" s="53"/>
      <c r="X39" s="53"/>
      <c r="Y39" s="518"/>
      <c r="Z39" s="53"/>
      <c r="AA39" s="53"/>
      <c r="AB39" s="53"/>
      <c r="AC39" s="53"/>
      <c r="AD39" s="518"/>
      <c r="AE39" s="53"/>
      <c r="AF39" s="53"/>
      <c r="AG39" s="53"/>
      <c r="AH39" s="53"/>
      <c r="AI39" s="518"/>
      <c r="AJ39" s="53"/>
      <c r="AK39" s="53"/>
      <c r="AL39" s="53"/>
      <c r="AM39" s="53"/>
      <c r="AN39" s="518"/>
      <c r="AO39" s="53"/>
      <c r="AP39" s="53"/>
      <c r="AQ39" s="53"/>
      <c r="AR39" s="53"/>
      <c r="AS39" s="518"/>
      <c r="AT39" s="53"/>
      <c r="AU39" s="53"/>
      <c r="AV39" s="53"/>
      <c r="AW39" s="53"/>
      <c r="AX39" s="518"/>
      <c r="AY39" s="53"/>
      <c r="AZ39" s="53"/>
      <c r="BA39" s="53"/>
      <c r="BB39" s="53"/>
      <c r="BC39" s="518"/>
      <c r="BD39" s="53"/>
      <c r="BE39" s="53"/>
      <c r="BF39" s="53"/>
      <c r="BG39" s="53"/>
      <c r="BH39" s="518"/>
      <c r="BI39" s="53"/>
      <c r="BJ39" s="53"/>
      <c r="BK39" s="53"/>
      <c r="BL39" s="53"/>
      <c r="BM39" s="518"/>
      <c r="BN39" s="53"/>
      <c r="BO39" s="53"/>
      <c r="BP39" s="53"/>
      <c r="BQ39" s="53"/>
      <c r="BR39" s="518"/>
      <c r="BS39" s="53"/>
      <c r="BT39" s="53"/>
      <c r="BU39" s="53"/>
      <c r="BV39" s="54"/>
      <c r="BW39" s="465"/>
      <c r="BX39" s="410"/>
      <c r="BY39" s="410"/>
    </row>
    <row r="40" spans="1:77" hidden="1" x14ac:dyDescent="0.2">
      <c r="A40" s="377"/>
      <c r="B40" s="377"/>
      <c r="D40" s="465" t="s">
        <v>463</v>
      </c>
      <c r="E40" s="417"/>
      <c r="F40" s="377"/>
      <c r="G40" s="53">
        <v>0</v>
      </c>
      <c r="H40" s="53"/>
      <c r="I40" s="53"/>
      <c r="J40" s="518"/>
      <c r="K40" s="377"/>
      <c r="L40" s="53">
        <f>SUM(L41:L43)</f>
        <v>0</v>
      </c>
      <c r="M40" s="53"/>
      <c r="N40" s="53"/>
      <c r="O40" s="518"/>
      <c r="P40" s="377"/>
      <c r="Q40" s="53">
        <f>SUM(Q41:Q43)</f>
        <v>0</v>
      </c>
      <c r="R40" s="53"/>
      <c r="S40" s="53"/>
      <c r="T40" s="518"/>
      <c r="U40" s="377"/>
      <c r="V40" s="53">
        <f>SUM(V41:V43)</f>
        <v>0</v>
      </c>
      <c r="W40" s="53"/>
      <c r="X40" s="53"/>
      <c r="Y40" s="518"/>
      <c r="Z40" s="377"/>
      <c r="AA40" s="53">
        <f>SUM(AA41:AA43)</f>
        <v>0</v>
      </c>
      <c r="AB40" s="53"/>
      <c r="AC40" s="53"/>
      <c r="AD40" s="518"/>
      <c r="AE40" s="377"/>
      <c r="AF40" s="53">
        <f>SUM(AF41:AF43)</f>
        <v>0</v>
      </c>
      <c r="AG40" s="53"/>
      <c r="AH40" s="53"/>
      <c r="AI40" s="518"/>
      <c r="AJ40" s="377"/>
      <c r="AK40" s="53">
        <f>SUM(AK41:AK43)</f>
        <v>0</v>
      </c>
      <c r="AL40" s="53"/>
      <c r="AM40" s="53"/>
      <c r="AN40" s="518"/>
      <c r="AO40" s="377"/>
      <c r="AP40" s="53">
        <f>SUM(AP41:AP43)</f>
        <v>0</v>
      </c>
      <c r="AQ40" s="53"/>
      <c r="AR40" s="53"/>
      <c r="AS40" s="518"/>
      <c r="AT40" s="377"/>
      <c r="AU40" s="53">
        <f>SUM(AU41:AU43)</f>
        <v>0</v>
      </c>
      <c r="AV40" s="53"/>
      <c r="AW40" s="53"/>
      <c r="AX40" s="518"/>
      <c r="AY40" s="377"/>
      <c r="AZ40" s="53">
        <f>SUM(AZ41:AZ43)</f>
        <v>0</v>
      </c>
      <c r="BA40" s="53"/>
      <c r="BB40" s="53"/>
      <c r="BC40" s="518"/>
      <c r="BD40" s="377"/>
      <c r="BE40" s="53">
        <f>SUM(BE41:BE43)</f>
        <v>0</v>
      </c>
      <c r="BF40" s="53"/>
      <c r="BG40" s="53"/>
      <c r="BH40" s="518"/>
      <c r="BI40" s="377"/>
      <c r="BJ40" s="53">
        <f>SUM(BJ41:BJ43)</f>
        <v>0</v>
      </c>
      <c r="BK40" s="53"/>
      <c r="BL40" s="53"/>
      <c r="BM40" s="518"/>
      <c r="BN40" s="377"/>
      <c r="BO40" s="53">
        <f>SUM(BO41:BO43)</f>
        <v>0</v>
      </c>
      <c r="BP40" s="53"/>
      <c r="BQ40" s="53"/>
      <c r="BR40" s="518"/>
      <c r="BS40" s="377"/>
      <c r="BT40" s="53">
        <f>SUM(BT41:BT43)</f>
        <v>0</v>
      </c>
      <c r="BU40" s="53"/>
      <c r="BV40" s="54"/>
      <c r="BW40" s="465"/>
      <c r="BX40" s="410"/>
      <c r="BY40" s="410"/>
    </row>
    <row r="41" spans="1:77" hidden="1" x14ac:dyDescent="0.2">
      <c r="A41" s="377"/>
      <c r="B41" s="377"/>
      <c r="D41" s="465" t="s">
        <v>378</v>
      </c>
      <c r="E41" s="417"/>
      <c r="F41" s="469"/>
      <c r="G41" s="520">
        <v>0</v>
      </c>
      <c r="H41" s="521"/>
      <c r="I41" s="53"/>
      <c r="J41" s="518"/>
      <c r="K41" s="469"/>
      <c r="L41" s="520">
        <v>0</v>
      </c>
      <c r="M41" s="521"/>
      <c r="N41" s="53"/>
      <c r="O41" s="518"/>
      <c r="P41" s="469"/>
      <c r="Q41" s="520">
        <v>0</v>
      </c>
      <c r="R41" s="521"/>
      <c r="S41" s="53"/>
      <c r="T41" s="518"/>
      <c r="U41" s="469"/>
      <c r="V41" s="520">
        <v>0</v>
      </c>
      <c r="W41" s="521"/>
      <c r="X41" s="53"/>
      <c r="Y41" s="518"/>
      <c r="Z41" s="469"/>
      <c r="AA41" s="520">
        <v>0</v>
      </c>
      <c r="AB41" s="521"/>
      <c r="AC41" s="53"/>
      <c r="AD41" s="518"/>
      <c r="AE41" s="469"/>
      <c r="AF41" s="520">
        <v>0</v>
      </c>
      <c r="AG41" s="521"/>
      <c r="AH41" s="53"/>
      <c r="AI41" s="518"/>
      <c r="AJ41" s="469"/>
      <c r="AK41" s="520">
        <v>0</v>
      </c>
      <c r="AL41" s="521"/>
      <c r="AM41" s="53"/>
      <c r="AN41" s="518"/>
      <c r="AO41" s="469"/>
      <c r="AP41" s="520">
        <v>0</v>
      </c>
      <c r="AQ41" s="521"/>
      <c r="AR41" s="53"/>
      <c r="AS41" s="518"/>
      <c r="AT41" s="469"/>
      <c r="AU41" s="520">
        <v>0</v>
      </c>
      <c r="AV41" s="521"/>
      <c r="AW41" s="53"/>
      <c r="AX41" s="518"/>
      <c r="AY41" s="469"/>
      <c r="AZ41" s="520">
        <v>0</v>
      </c>
      <c r="BA41" s="521"/>
      <c r="BB41" s="53"/>
      <c r="BC41" s="518"/>
      <c r="BD41" s="469"/>
      <c r="BE41" s="520">
        <v>0</v>
      </c>
      <c r="BF41" s="521"/>
      <c r="BG41" s="53"/>
      <c r="BH41" s="518"/>
      <c r="BI41" s="469"/>
      <c r="BJ41" s="520">
        <v>0</v>
      </c>
      <c r="BK41" s="521"/>
      <c r="BL41" s="53"/>
      <c r="BM41" s="518"/>
      <c r="BN41" s="469"/>
      <c r="BO41" s="520">
        <v>0</v>
      </c>
      <c r="BP41" s="521"/>
      <c r="BQ41" s="53"/>
      <c r="BR41" s="518"/>
      <c r="BS41" s="469"/>
      <c r="BT41" s="520">
        <f>SUM(L41:BO41)</f>
        <v>0</v>
      </c>
      <c r="BU41" s="521"/>
      <c r="BV41" s="54"/>
      <c r="BW41" s="465"/>
      <c r="BX41" s="410"/>
      <c r="BY41" s="410"/>
    </row>
    <row r="42" spans="1:77" hidden="1" x14ac:dyDescent="0.2">
      <c r="A42" s="377"/>
      <c r="B42" s="377"/>
      <c r="D42" s="465" t="s">
        <v>460</v>
      </c>
      <c r="E42" s="417"/>
      <c r="F42" s="417"/>
      <c r="G42" s="53">
        <v>0</v>
      </c>
      <c r="H42" s="52"/>
      <c r="I42" s="53"/>
      <c r="J42" s="518"/>
      <c r="K42" s="417"/>
      <c r="L42" s="53">
        <v>0</v>
      </c>
      <c r="M42" s="52"/>
      <c r="N42" s="53"/>
      <c r="O42" s="518"/>
      <c r="P42" s="417"/>
      <c r="Q42" s="53">
        <v>0</v>
      </c>
      <c r="R42" s="52"/>
      <c r="S42" s="53"/>
      <c r="T42" s="518"/>
      <c r="U42" s="417"/>
      <c r="V42" s="53">
        <v>0</v>
      </c>
      <c r="W42" s="52"/>
      <c r="X42" s="53"/>
      <c r="Y42" s="518"/>
      <c r="Z42" s="417"/>
      <c r="AA42" s="53">
        <v>0</v>
      </c>
      <c r="AB42" s="52"/>
      <c r="AC42" s="53"/>
      <c r="AD42" s="518"/>
      <c r="AE42" s="417"/>
      <c r="AF42" s="53">
        <v>0</v>
      </c>
      <c r="AG42" s="52"/>
      <c r="AH42" s="53"/>
      <c r="AI42" s="518"/>
      <c r="AJ42" s="417"/>
      <c r="AK42" s="53">
        <v>0</v>
      </c>
      <c r="AL42" s="52"/>
      <c r="AM42" s="53"/>
      <c r="AN42" s="518"/>
      <c r="AO42" s="417"/>
      <c r="AP42" s="53">
        <v>0</v>
      </c>
      <c r="AQ42" s="52"/>
      <c r="AR42" s="53"/>
      <c r="AS42" s="518"/>
      <c r="AT42" s="417"/>
      <c r="AU42" s="53">
        <v>0</v>
      </c>
      <c r="AV42" s="52"/>
      <c r="AW42" s="53"/>
      <c r="AX42" s="518"/>
      <c r="AY42" s="417"/>
      <c r="AZ42" s="53">
        <v>0</v>
      </c>
      <c r="BA42" s="52"/>
      <c r="BB42" s="53"/>
      <c r="BC42" s="518"/>
      <c r="BD42" s="417"/>
      <c r="BE42" s="53">
        <v>0</v>
      </c>
      <c r="BF42" s="52"/>
      <c r="BG42" s="53"/>
      <c r="BH42" s="518"/>
      <c r="BI42" s="417"/>
      <c r="BJ42" s="53">
        <v>0</v>
      </c>
      <c r="BK42" s="52"/>
      <c r="BL42" s="53"/>
      <c r="BM42" s="518"/>
      <c r="BN42" s="417"/>
      <c r="BO42" s="53">
        <v>0</v>
      </c>
      <c r="BP42" s="52"/>
      <c r="BQ42" s="53"/>
      <c r="BR42" s="518"/>
      <c r="BS42" s="417"/>
      <c r="BT42" s="53">
        <f>SUM(L42:BO42)</f>
        <v>0</v>
      </c>
      <c r="BU42" s="52"/>
      <c r="BV42" s="54"/>
      <c r="BW42" s="465"/>
      <c r="BX42" s="410"/>
      <c r="BY42" s="410"/>
    </row>
    <row r="43" spans="1:77" hidden="1" x14ac:dyDescent="0.2">
      <c r="A43" s="377"/>
      <c r="B43" s="377"/>
      <c r="D43" s="465" t="s">
        <v>461</v>
      </c>
      <c r="E43" s="417"/>
      <c r="F43" s="478"/>
      <c r="G43" s="102">
        <v>0</v>
      </c>
      <c r="H43" s="101"/>
      <c r="I43" s="53"/>
      <c r="J43" s="518"/>
      <c r="K43" s="478"/>
      <c r="L43" s="102">
        <v>0</v>
      </c>
      <c r="M43" s="101"/>
      <c r="N43" s="53"/>
      <c r="O43" s="518"/>
      <c r="P43" s="478"/>
      <c r="Q43" s="102">
        <v>0</v>
      </c>
      <c r="R43" s="101"/>
      <c r="S43" s="53"/>
      <c r="T43" s="518"/>
      <c r="U43" s="478"/>
      <c r="V43" s="102">
        <v>0</v>
      </c>
      <c r="W43" s="101"/>
      <c r="X43" s="53"/>
      <c r="Y43" s="518"/>
      <c r="Z43" s="478"/>
      <c r="AA43" s="102">
        <v>0</v>
      </c>
      <c r="AB43" s="101"/>
      <c r="AC43" s="53"/>
      <c r="AD43" s="518"/>
      <c r="AE43" s="478"/>
      <c r="AF43" s="102">
        <v>0</v>
      </c>
      <c r="AG43" s="101"/>
      <c r="AH43" s="53"/>
      <c r="AI43" s="518"/>
      <c r="AJ43" s="478"/>
      <c r="AK43" s="102">
        <v>0</v>
      </c>
      <c r="AL43" s="101"/>
      <c r="AM43" s="53"/>
      <c r="AN43" s="518"/>
      <c r="AO43" s="478"/>
      <c r="AP43" s="102">
        <v>0</v>
      </c>
      <c r="AQ43" s="101"/>
      <c r="AR43" s="53"/>
      <c r="AS43" s="518"/>
      <c r="AT43" s="478"/>
      <c r="AU43" s="102">
        <v>0</v>
      </c>
      <c r="AV43" s="101"/>
      <c r="AW43" s="53"/>
      <c r="AX43" s="518"/>
      <c r="AY43" s="478"/>
      <c r="AZ43" s="102">
        <v>0</v>
      </c>
      <c r="BA43" s="101"/>
      <c r="BB43" s="53"/>
      <c r="BC43" s="518"/>
      <c r="BD43" s="478"/>
      <c r="BE43" s="102">
        <v>0</v>
      </c>
      <c r="BF43" s="101"/>
      <c r="BG43" s="53"/>
      <c r="BH43" s="518"/>
      <c r="BI43" s="478"/>
      <c r="BJ43" s="102">
        <v>0</v>
      </c>
      <c r="BK43" s="101"/>
      <c r="BL43" s="53"/>
      <c r="BM43" s="518"/>
      <c r="BN43" s="478"/>
      <c r="BO43" s="102">
        <v>0</v>
      </c>
      <c r="BP43" s="101"/>
      <c r="BQ43" s="53"/>
      <c r="BR43" s="518"/>
      <c r="BS43" s="478"/>
      <c r="BT43" s="102">
        <f>SUM(L43:BO43)</f>
        <v>0</v>
      </c>
      <c r="BU43" s="101"/>
      <c r="BV43" s="54"/>
      <c r="BW43" s="465"/>
      <c r="BX43" s="410"/>
      <c r="BY43" s="410"/>
    </row>
    <row r="44" spans="1:77" ht="12.75" hidden="1" customHeight="1" x14ac:dyDescent="0.2">
      <c r="A44" s="377"/>
      <c r="B44" s="377"/>
      <c r="D44" s="465"/>
      <c r="E44" s="417"/>
      <c r="F44" s="377"/>
      <c r="G44" s="53"/>
      <c r="H44" s="53"/>
      <c r="I44" s="53"/>
      <c r="J44" s="518"/>
      <c r="K44" s="53"/>
      <c r="L44" s="53"/>
      <c r="M44" s="53"/>
      <c r="N44" s="53"/>
      <c r="O44" s="518"/>
      <c r="P44" s="53"/>
      <c r="Q44" s="53"/>
      <c r="R44" s="53"/>
      <c r="S44" s="53"/>
      <c r="T44" s="518"/>
      <c r="U44" s="53"/>
      <c r="V44" s="53"/>
      <c r="W44" s="53"/>
      <c r="X44" s="53"/>
      <c r="Y44" s="518"/>
      <c r="Z44" s="53"/>
      <c r="AA44" s="53"/>
      <c r="AB44" s="53"/>
      <c r="AC44" s="53"/>
      <c r="AD44" s="518"/>
      <c r="AE44" s="53"/>
      <c r="AF44" s="53"/>
      <c r="AG44" s="53"/>
      <c r="AH44" s="53"/>
      <c r="AI44" s="518"/>
      <c r="AJ44" s="53"/>
      <c r="AK44" s="53"/>
      <c r="AL44" s="53"/>
      <c r="AM44" s="53"/>
      <c r="AN44" s="518"/>
      <c r="AO44" s="53"/>
      <c r="AP44" s="53"/>
      <c r="AQ44" s="53"/>
      <c r="AR44" s="53"/>
      <c r="AS44" s="518"/>
      <c r="AT44" s="53"/>
      <c r="AU44" s="53"/>
      <c r="AV44" s="53"/>
      <c r="AW44" s="53"/>
      <c r="AX44" s="518"/>
      <c r="AY44" s="53"/>
      <c r="AZ44" s="53"/>
      <c r="BA44" s="53"/>
      <c r="BB44" s="53"/>
      <c r="BC44" s="518"/>
      <c r="BD44" s="53"/>
      <c r="BE44" s="53"/>
      <c r="BF44" s="53"/>
      <c r="BG44" s="53"/>
      <c r="BH44" s="518"/>
      <c r="BI44" s="53"/>
      <c r="BJ44" s="53"/>
      <c r="BK44" s="53"/>
      <c r="BL44" s="53"/>
      <c r="BM44" s="518"/>
      <c r="BN44" s="53"/>
      <c r="BO44" s="53"/>
      <c r="BP44" s="53"/>
      <c r="BQ44" s="53"/>
      <c r="BR44" s="518"/>
      <c r="BS44" s="53"/>
      <c r="BT44" s="53"/>
      <c r="BU44" s="53"/>
      <c r="BV44" s="54"/>
      <c r="BW44" s="465"/>
      <c r="BX44" s="410"/>
      <c r="BY44" s="410"/>
    </row>
    <row r="45" spans="1:77" ht="12.75" hidden="1" customHeight="1" x14ac:dyDescent="0.2">
      <c r="A45" s="377"/>
      <c r="B45" s="377"/>
      <c r="D45" s="465" t="s">
        <v>399</v>
      </c>
      <c r="E45" s="417"/>
      <c r="F45" s="377"/>
      <c r="G45" s="53">
        <f>SUM(G46:G48)</f>
        <v>0</v>
      </c>
      <c r="H45" s="53"/>
      <c r="I45" s="53"/>
      <c r="J45" s="518"/>
      <c r="K45" s="53"/>
      <c r="L45" s="53">
        <f>SUM(L46:L48)</f>
        <v>0</v>
      </c>
      <c r="M45" s="53"/>
      <c r="N45" s="53"/>
      <c r="O45" s="518"/>
      <c r="P45" s="377"/>
      <c r="Q45" s="53">
        <f>SUM(Q46:Q48)</f>
        <v>0</v>
      </c>
      <c r="R45" s="53"/>
      <c r="S45" s="53"/>
      <c r="T45" s="518"/>
      <c r="U45" s="377"/>
      <c r="V45" s="53">
        <f>SUM(V46:V48)</f>
        <v>0</v>
      </c>
      <c r="W45" s="53"/>
      <c r="X45" s="53"/>
      <c r="Y45" s="518"/>
      <c r="Z45" s="377"/>
      <c r="AA45" s="53">
        <f>SUM(AA46:AA48)</f>
        <v>0</v>
      </c>
      <c r="AB45" s="53"/>
      <c r="AC45" s="53"/>
      <c r="AD45" s="518"/>
      <c r="AE45" s="377"/>
      <c r="AF45" s="53">
        <f>SUM(AF46:AF48)</f>
        <v>0</v>
      </c>
      <c r="AG45" s="53"/>
      <c r="AH45" s="53"/>
      <c r="AI45" s="518"/>
      <c r="AJ45" s="377"/>
      <c r="AK45" s="53">
        <f>SUM(AK46:AK48)</f>
        <v>0</v>
      </c>
      <c r="AL45" s="53"/>
      <c r="AM45" s="53"/>
      <c r="AN45" s="518"/>
      <c r="AO45" s="377"/>
      <c r="AP45" s="53">
        <f>SUM(AP46:AP48)</f>
        <v>0</v>
      </c>
      <c r="AQ45" s="53"/>
      <c r="AR45" s="53"/>
      <c r="AS45" s="518"/>
      <c r="AT45" s="377"/>
      <c r="AU45" s="53">
        <f>SUM(AU46:AU48)</f>
        <v>0</v>
      </c>
      <c r="AV45" s="53"/>
      <c r="AW45" s="53"/>
      <c r="AX45" s="518"/>
      <c r="AY45" s="377"/>
      <c r="AZ45" s="53">
        <f>SUM(AZ46:AZ48)</f>
        <v>0</v>
      </c>
      <c r="BA45" s="53"/>
      <c r="BB45" s="53"/>
      <c r="BC45" s="518"/>
      <c r="BD45" s="377"/>
      <c r="BE45" s="53">
        <f>SUM(BE46:BE48)</f>
        <v>0</v>
      </c>
      <c r="BF45" s="53"/>
      <c r="BG45" s="53"/>
      <c r="BH45" s="518"/>
      <c r="BI45" s="377"/>
      <c r="BJ45" s="53">
        <f>SUM(BJ46:BJ48)</f>
        <v>0</v>
      </c>
      <c r="BK45" s="53"/>
      <c r="BL45" s="53"/>
      <c r="BM45" s="518"/>
      <c r="BN45" s="377"/>
      <c r="BO45" s="53">
        <f>SUM(BO46:BO48)</f>
        <v>0</v>
      </c>
      <c r="BP45" s="53"/>
      <c r="BQ45" s="53"/>
      <c r="BR45" s="518"/>
      <c r="BS45" s="53"/>
      <c r="BT45" s="53">
        <f>SUM(BT46:BT48)</f>
        <v>0</v>
      </c>
      <c r="BU45" s="53"/>
      <c r="BV45" s="54"/>
      <c r="BW45" s="465"/>
      <c r="BX45" s="410"/>
      <c r="BY45" s="410"/>
    </row>
    <row r="46" spans="1:77" ht="12.75" hidden="1" customHeight="1" x14ac:dyDescent="0.2">
      <c r="A46" s="377"/>
      <c r="B46" s="377"/>
      <c r="D46" s="465" t="s">
        <v>378</v>
      </c>
      <c r="E46" s="417"/>
      <c r="F46" s="469"/>
      <c r="G46" s="520">
        <v>0</v>
      </c>
      <c r="H46" s="521"/>
      <c r="I46" s="53"/>
      <c r="J46" s="518"/>
      <c r="K46" s="519"/>
      <c r="L46" s="520">
        <v>0</v>
      </c>
      <c r="M46" s="521"/>
      <c r="N46" s="53"/>
      <c r="O46" s="518"/>
      <c r="P46" s="469"/>
      <c r="Q46" s="520">
        <v>0</v>
      </c>
      <c r="R46" s="521"/>
      <c r="S46" s="53"/>
      <c r="T46" s="518"/>
      <c r="U46" s="469"/>
      <c r="V46" s="520">
        <v>0</v>
      </c>
      <c r="W46" s="521"/>
      <c r="X46" s="53"/>
      <c r="Y46" s="518"/>
      <c r="Z46" s="469"/>
      <c r="AA46" s="520">
        <v>0</v>
      </c>
      <c r="AB46" s="521"/>
      <c r="AC46" s="53"/>
      <c r="AD46" s="518"/>
      <c r="AE46" s="469"/>
      <c r="AF46" s="520">
        <v>0</v>
      </c>
      <c r="AG46" s="521"/>
      <c r="AH46" s="53"/>
      <c r="AI46" s="518"/>
      <c r="AJ46" s="469"/>
      <c r="AK46" s="520">
        <v>0</v>
      </c>
      <c r="AL46" s="521"/>
      <c r="AM46" s="53"/>
      <c r="AN46" s="518"/>
      <c r="AO46" s="469"/>
      <c r="AP46" s="520">
        <v>0</v>
      </c>
      <c r="AQ46" s="521"/>
      <c r="AR46" s="53"/>
      <c r="AS46" s="518"/>
      <c r="AT46" s="469"/>
      <c r="AU46" s="520">
        <v>0</v>
      </c>
      <c r="AV46" s="521"/>
      <c r="AW46" s="53"/>
      <c r="AX46" s="518"/>
      <c r="AY46" s="469"/>
      <c r="AZ46" s="520">
        <v>0</v>
      </c>
      <c r="BA46" s="521"/>
      <c r="BB46" s="53"/>
      <c r="BC46" s="518"/>
      <c r="BD46" s="469"/>
      <c r="BE46" s="520">
        <v>0</v>
      </c>
      <c r="BF46" s="521"/>
      <c r="BG46" s="53"/>
      <c r="BH46" s="518"/>
      <c r="BI46" s="469"/>
      <c r="BJ46" s="520">
        <v>0</v>
      </c>
      <c r="BK46" s="521"/>
      <c r="BL46" s="53"/>
      <c r="BM46" s="518"/>
      <c r="BN46" s="469"/>
      <c r="BO46" s="520">
        <v>0</v>
      </c>
      <c r="BP46" s="521"/>
      <c r="BQ46" s="53"/>
      <c r="BR46" s="518"/>
      <c r="BS46" s="519"/>
      <c r="BT46" s="520">
        <f>SUM(L46:BO46)</f>
        <v>0</v>
      </c>
      <c r="BU46" s="521"/>
      <c r="BV46" s="54"/>
      <c r="BW46" s="465"/>
      <c r="BX46" s="410"/>
      <c r="BY46" s="410"/>
    </row>
    <row r="47" spans="1:77" ht="12.75" hidden="1" customHeight="1" x14ac:dyDescent="0.2">
      <c r="A47" s="377"/>
      <c r="B47" s="377"/>
      <c r="D47" s="465" t="s">
        <v>460</v>
      </c>
      <c r="E47" s="417"/>
      <c r="F47" s="417"/>
      <c r="G47" s="53">
        <v>0</v>
      </c>
      <c r="H47" s="52"/>
      <c r="I47" s="53"/>
      <c r="J47" s="518"/>
      <c r="K47" s="518"/>
      <c r="L47" s="53">
        <v>0</v>
      </c>
      <c r="M47" s="52"/>
      <c r="N47" s="53"/>
      <c r="O47" s="518"/>
      <c r="P47" s="417"/>
      <c r="Q47" s="53">
        <v>0</v>
      </c>
      <c r="R47" s="52"/>
      <c r="S47" s="53"/>
      <c r="T47" s="518"/>
      <c r="U47" s="417"/>
      <c r="V47" s="53">
        <v>0</v>
      </c>
      <c r="W47" s="52"/>
      <c r="X47" s="53"/>
      <c r="Y47" s="518"/>
      <c r="Z47" s="417"/>
      <c r="AA47" s="53">
        <v>0</v>
      </c>
      <c r="AB47" s="52"/>
      <c r="AC47" s="53"/>
      <c r="AD47" s="518"/>
      <c r="AE47" s="417"/>
      <c r="AF47" s="53">
        <v>0</v>
      </c>
      <c r="AG47" s="52"/>
      <c r="AH47" s="53"/>
      <c r="AI47" s="518"/>
      <c r="AJ47" s="417"/>
      <c r="AK47" s="53">
        <v>0</v>
      </c>
      <c r="AL47" s="52"/>
      <c r="AM47" s="53"/>
      <c r="AN47" s="518"/>
      <c r="AO47" s="417"/>
      <c r="AP47" s="53">
        <v>0</v>
      </c>
      <c r="AQ47" s="52"/>
      <c r="AR47" s="53"/>
      <c r="AS47" s="518"/>
      <c r="AT47" s="417"/>
      <c r="AU47" s="53">
        <v>0</v>
      </c>
      <c r="AV47" s="52"/>
      <c r="AW47" s="53"/>
      <c r="AX47" s="518"/>
      <c r="AY47" s="417"/>
      <c r="AZ47" s="53">
        <v>0</v>
      </c>
      <c r="BA47" s="52"/>
      <c r="BB47" s="53"/>
      <c r="BC47" s="518"/>
      <c r="BD47" s="417"/>
      <c r="BE47" s="53">
        <v>0</v>
      </c>
      <c r="BF47" s="52"/>
      <c r="BG47" s="53"/>
      <c r="BH47" s="518"/>
      <c r="BI47" s="417"/>
      <c r="BJ47" s="53">
        <v>0</v>
      </c>
      <c r="BK47" s="52"/>
      <c r="BL47" s="53"/>
      <c r="BM47" s="518"/>
      <c r="BN47" s="417"/>
      <c r="BO47" s="53">
        <v>0</v>
      </c>
      <c r="BP47" s="52"/>
      <c r="BQ47" s="53"/>
      <c r="BR47" s="518"/>
      <c r="BS47" s="518"/>
      <c r="BT47" s="53">
        <f>SUM(L47:BO47)</f>
        <v>0</v>
      </c>
      <c r="BU47" s="52"/>
      <c r="BV47" s="54"/>
      <c r="BW47" s="465"/>
      <c r="BX47" s="410"/>
      <c r="BY47" s="410"/>
    </row>
    <row r="48" spans="1:77" ht="12.75" hidden="1" customHeight="1" x14ac:dyDescent="0.2">
      <c r="A48" s="377"/>
      <c r="B48" s="377"/>
      <c r="D48" s="465" t="s">
        <v>461</v>
      </c>
      <c r="E48" s="417"/>
      <c r="F48" s="478"/>
      <c r="G48" s="102">
        <v>0</v>
      </c>
      <c r="H48" s="101"/>
      <c r="I48" s="53"/>
      <c r="J48" s="518"/>
      <c r="K48" s="522"/>
      <c r="L48" s="102">
        <v>0</v>
      </c>
      <c r="M48" s="101"/>
      <c r="N48" s="53"/>
      <c r="O48" s="518"/>
      <c r="P48" s="478"/>
      <c r="Q48" s="102">
        <v>0</v>
      </c>
      <c r="R48" s="101"/>
      <c r="S48" s="53"/>
      <c r="T48" s="518"/>
      <c r="U48" s="478"/>
      <c r="V48" s="102">
        <v>0</v>
      </c>
      <c r="W48" s="101"/>
      <c r="X48" s="53"/>
      <c r="Y48" s="518"/>
      <c r="Z48" s="478"/>
      <c r="AA48" s="102">
        <v>0</v>
      </c>
      <c r="AB48" s="101"/>
      <c r="AC48" s="53"/>
      <c r="AD48" s="518"/>
      <c r="AE48" s="478"/>
      <c r="AF48" s="102">
        <v>0</v>
      </c>
      <c r="AG48" s="101"/>
      <c r="AH48" s="53"/>
      <c r="AI48" s="518"/>
      <c r="AJ48" s="478"/>
      <c r="AK48" s="102">
        <v>0</v>
      </c>
      <c r="AL48" s="101"/>
      <c r="AM48" s="53"/>
      <c r="AN48" s="518"/>
      <c r="AO48" s="478"/>
      <c r="AP48" s="102">
        <v>0</v>
      </c>
      <c r="AQ48" s="101"/>
      <c r="AR48" s="53"/>
      <c r="AS48" s="518"/>
      <c r="AT48" s="478"/>
      <c r="AU48" s="102">
        <v>0</v>
      </c>
      <c r="AV48" s="101"/>
      <c r="AW48" s="53"/>
      <c r="AX48" s="518"/>
      <c r="AY48" s="478"/>
      <c r="AZ48" s="102">
        <v>0</v>
      </c>
      <c r="BA48" s="101"/>
      <c r="BB48" s="53"/>
      <c r="BC48" s="518"/>
      <c r="BD48" s="478"/>
      <c r="BE48" s="102">
        <v>0</v>
      </c>
      <c r="BF48" s="101"/>
      <c r="BG48" s="53"/>
      <c r="BH48" s="518"/>
      <c r="BI48" s="478"/>
      <c r="BJ48" s="102">
        <v>0</v>
      </c>
      <c r="BK48" s="101"/>
      <c r="BL48" s="53"/>
      <c r="BM48" s="518"/>
      <c r="BN48" s="478"/>
      <c r="BO48" s="102">
        <v>0</v>
      </c>
      <c r="BP48" s="101"/>
      <c r="BQ48" s="53"/>
      <c r="BR48" s="518"/>
      <c r="BS48" s="522"/>
      <c r="BT48" s="102">
        <f>SUM(L48:BO48)</f>
        <v>0</v>
      </c>
      <c r="BU48" s="101"/>
      <c r="BV48" s="54"/>
      <c r="BW48" s="465"/>
      <c r="BX48" s="410"/>
      <c r="BY48" s="410"/>
    </row>
    <row r="49" spans="1:77" ht="12.75" customHeight="1" x14ac:dyDescent="0.2">
      <c r="A49" s="377"/>
      <c r="B49" s="377"/>
      <c r="D49" s="465"/>
      <c r="E49" s="417"/>
      <c r="F49" s="377"/>
      <c r="G49" s="53"/>
      <c r="H49" s="53"/>
      <c r="I49" s="53"/>
      <c r="J49" s="518"/>
      <c r="K49" s="53"/>
      <c r="L49" s="53"/>
      <c r="M49" s="53"/>
      <c r="N49" s="53"/>
      <c r="O49" s="518"/>
      <c r="P49" s="53"/>
      <c r="Q49" s="53"/>
      <c r="R49" s="53"/>
      <c r="S49" s="53"/>
      <c r="T49" s="518"/>
      <c r="U49" s="53"/>
      <c r="V49" s="53"/>
      <c r="W49" s="53"/>
      <c r="X49" s="53"/>
      <c r="Y49" s="518"/>
      <c r="Z49" s="53"/>
      <c r="AA49" s="53"/>
      <c r="AB49" s="53"/>
      <c r="AC49" s="53"/>
      <c r="AD49" s="518"/>
      <c r="AE49" s="53"/>
      <c r="AF49" s="53"/>
      <c r="AG49" s="53"/>
      <c r="AH49" s="53"/>
      <c r="AI49" s="518"/>
      <c r="AJ49" s="53"/>
      <c r="AK49" s="53"/>
      <c r="AL49" s="53"/>
      <c r="AM49" s="53"/>
      <c r="AN49" s="518"/>
      <c r="AO49" s="53"/>
      <c r="AP49" s="53"/>
      <c r="AQ49" s="53"/>
      <c r="AR49" s="53"/>
      <c r="AS49" s="518"/>
      <c r="AT49" s="53"/>
      <c r="AU49" s="53"/>
      <c r="AV49" s="53"/>
      <c r="AW49" s="53"/>
      <c r="AX49" s="518"/>
      <c r="AY49" s="53"/>
      <c r="AZ49" s="53"/>
      <c r="BA49" s="53"/>
      <c r="BB49" s="53"/>
      <c r="BC49" s="518"/>
      <c r="BD49" s="53"/>
      <c r="BE49" s="53"/>
      <c r="BF49" s="53"/>
      <c r="BG49" s="53"/>
      <c r="BH49" s="518"/>
      <c r="BI49" s="53"/>
      <c r="BJ49" s="53"/>
      <c r="BK49" s="53"/>
      <c r="BL49" s="53"/>
      <c r="BM49" s="518"/>
      <c r="BN49" s="53"/>
      <c r="BO49" s="53"/>
      <c r="BP49" s="53"/>
      <c r="BQ49" s="53"/>
      <c r="BR49" s="518"/>
      <c r="BS49" s="53"/>
      <c r="BT49" s="53"/>
      <c r="BU49" s="53"/>
      <c r="BV49" s="54"/>
      <c r="BW49" s="465"/>
      <c r="BX49" s="410"/>
      <c r="BY49" s="410"/>
    </row>
    <row r="50" spans="1:77" ht="12.75" hidden="1" customHeight="1" x14ac:dyDescent="0.2">
      <c r="A50" s="377"/>
      <c r="B50" s="377"/>
      <c r="D50" s="465" t="s">
        <v>464</v>
      </c>
      <c r="E50" s="417"/>
      <c r="F50" s="377"/>
      <c r="G50" s="53">
        <v>0</v>
      </c>
      <c r="H50" s="53"/>
      <c r="I50" s="53"/>
      <c r="J50" s="518"/>
      <c r="K50" s="53"/>
      <c r="L50" s="53">
        <f>SUM(L51:L53)</f>
        <v>0</v>
      </c>
      <c r="M50" s="53"/>
      <c r="N50" s="53"/>
      <c r="O50" s="518"/>
      <c r="P50" s="377"/>
      <c r="Q50" s="53">
        <f>SUM(Q51:Q53)</f>
        <v>0</v>
      </c>
      <c r="R50" s="53"/>
      <c r="S50" s="53"/>
      <c r="T50" s="518"/>
      <c r="U50" s="377"/>
      <c r="V50" s="53">
        <f>SUM(V51:V53)</f>
        <v>0</v>
      </c>
      <c r="W50" s="53"/>
      <c r="X50" s="53"/>
      <c r="Y50" s="518"/>
      <c r="Z50" s="377"/>
      <c r="AA50" s="53">
        <f>SUM(AA51:AA53)</f>
        <v>0</v>
      </c>
      <c r="AB50" s="53"/>
      <c r="AC50" s="53"/>
      <c r="AD50" s="518"/>
      <c r="AE50" s="377"/>
      <c r="AF50" s="53">
        <f>SUM(AF51:AF53)</f>
        <v>0</v>
      </c>
      <c r="AG50" s="53"/>
      <c r="AH50" s="53"/>
      <c r="AI50" s="518"/>
      <c r="AJ50" s="377"/>
      <c r="AK50" s="53">
        <f>SUM(AK51:AK53)</f>
        <v>0</v>
      </c>
      <c r="AL50" s="53"/>
      <c r="AM50" s="53"/>
      <c r="AN50" s="518"/>
      <c r="AO50" s="377"/>
      <c r="AP50" s="53">
        <f>SUM(AP51:AP53)</f>
        <v>0</v>
      </c>
      <c r="AQ50" s="53"/>
      <c r="AR50" s="53"/>
      <c r="AS50" s="518"/>
      <c r="AT50" s="377"/>
      <c r="AU50" s="53">
        <f>SUM(AU51:AU53)</f>
        <v>0</v>
      </c>
      <c r="AV50" s="53"/>
      <c r="AW50" s="53"/>
      <c r="AX50" s="518"/>
      <c r="AY50" s="377"/>
      <c r="AZ50" s="53">
        <f>SUM(AZ51:AZ53)</f>
        <v>0</v>
      </c>
      <c r="BA50" s="53"/>
      <c r="BB50" s="53"/>
      <c r="BC50" s="518"/>
      <c r="BD50" s="377"/>
      <c r="BE50" s="53">
        <f>SUM(BE51:BE53)</f>
        <v>0</v>
      </c>
      <c r="BF50" s="53"/>
      <c r="BG50" s="53"/>
      <c r="BH50" s="518"/>
      <c r="BI50" s="377"/>
      <c r="BJ50" s="53">
        <f>SUM(BJ51:BJ53)</f>
        <v>0</v>
      </c>
      <c r="BK50" s="53"/>
      <c r="BL50" s="53"/>
      <c r="BM50" s="518"/>
      <c r="BN50" s="377"/>
      <c r="BO50" s="53">
        <f>SUM(BO51:BO53)</f>
        <v>0</v>
      </c>
      <c r="BP50" s="53"/>
      <c r="BQ50" s="53"/>
      <c r="BR50" s="518"/>
      <c r="BS50" s="53"/>
      <c r="BT50" s="53">
        <f>SUM(BT51:BT53)</f>
        <v>0</v>
      </c>
      <c r="BU50" s="53"/>
      <c r="BV50" s="54"/>
      <c r="BW50" s="465"/>
      <c r="BX50" s="410"/>
      <c r="BY50" s="410"/>
    </row>
    <row r="51" spans="1:77" ht="12.75" hidden="1" customHeight="1" x14ac:dyDescent="0.2">
      <c r="A51" s="377"/>
      <c r="B51" s="377"/>
      <c r="D51" s="465" t="s">
        <v>378</v>
      </c>
      <c r="E51" s="417"/>
      <c r="F51" s="469"/>
      <c r="G51" s="520">
        <v>0</v>
      </c>
      <c r="H51" s="521"/>
      <c r="I51" s="53"/>
      <c r="J51" s="518"/>
      <c r="K51" s="519"/>
      <c r="L51" s="520">
        <v>0</v>
      </c>
      <c r="M51" s="521"/>
      <c r="N51" s="53"/>
      <c r="O51" s="518"/>
      <c r="P51" s="469"/>
      <c r="Q51" s="520">
        <v>0</v>
      </c>
      <c r="R51" s="521"/>
      <c r="S51" s="53"/>
      <c r="T51" s="518"/>
      <c r="U51" s="469"/>
      <c r="V51" s="520">
        <v>0</v>
      </c>
      <c r="W51" s="521"/>
      <c r="X51" s="53"/>
      <c r="Y51" s="518"/>
      <c r="Z51" s="469"/>
      <c r="AA51" s="520">
        <v>0</v>
      </c>
      <c r="AB51" s="521"/>
      <c r="AC51" s="53"/>
      <c r="AD51" s="518"/>
      <c r="AE51" s="469"/>
      <c r="AF51" s="520">
        <v>0</v>
      </c>
      <c r="AG51" s="521"/>
      <c r="AH51" s="53"/>
      <c r="AI51" s="518"/>
      <c r="AJ51" s="469"/>
      <c r="AK51" s="520">
        <v>0</v>
      </c>
      <c r="AL51" s="521"/>
      <c r="AM51" s="53"/>
      <c r="AN51" s="518"/>
      <c r="AO51" s="469"/>
      <c r="AP51" s="520">
        <v>0</v>
      </c>
      <c r="AQ51" s="521"/>
      <c r="AR51" s="53"/>
      <c r="AS51" s="518"/>
      <c r="AT51" s="469"/>
      <c r="AU51" s="520">
        <v>0</v>
      </c>
      <c r="AV51" s="521"/>
      <c r="AW51" s="53"/>
      <c r="AX51" s="518"/>
      <c r="AY51" s="469"/>
      <c r="AZ51" s="520">
        <v>0</v>
      </c>
      <c r="BA51" s="521"/>
      <c r="BB51" s="53"/>
      <c r="BC51" s="518"/>
      <c r="BD51" s="469"/>
      <c r="BE51" s="520">
        <v>0</v>
      </c>
      <c r="BF51" s="521"/>
      <c r="BG51" s="53"/>
      <c r="BH51" s="518"/>
      <c r="BI51" s="469"/>
      <c r="BJ51" s="520">
        <v>0</v>
      </c>
      <c r="BK51" s="521"/>
      <c r="BL51" s="53"/>
      <c r="BM51" s="518"/>
      <c r="BN51" s="469"/>
      <c r="BO51" s="520">
        <v>0</v>
      </c>
      <c r="BP51" s="521"/>
      <c r="BQ51" s="53"/>
      <c r="BR51" s="518"/>
      <c r="BS51" s="519"/>
      <c r="BT51" s="520">
        <f>SUM(L51:BO51)</f>
        <v>0</v>
      </c>
      <c r="BU51" s="521"/>
      <c r="BV51" s="54"/>
      <c r="BW51" s="465"/>
      <c r="BX51" s="410"/>
      <c r="BY51" s="410"/>
    </row>
    <row r="52" spans="1:77" ht="12.75" hidden="1" customHeight="1" x14ac:dyDescent="0.2">
      <c r="A52" s="377"/>
      <c r="B52" s="377"/>
      <c r="D52" s="465" t="s">
        <v>460</v>
      </c>
      <c r="E52" s="417"/>
      <c r="F52" s="417"/>
      <c r="G52" s="53">
        <v>0</v>
      </c>
      <c r="H52" s="52"/>
      <c r="I52" s="53"/>
      <c r="J52" s="518"/>
      <c r="K52" s="518"/>
      <c r="L52" s="53">
        <v>0</v>
      </c>
      <c r="M52" s="52"/>
      <c r="N52" s="53"/>
      <c r="O52" s="518"/>
      <c r="P52" s="417"/>
      <c r="Q52" s="53">
        <v>0</v>
      </c>
      <c r="R52" s="52"/>
      <c r="S52" s="53"/>
      <c r="T52" s="518"/>
      <c r="U52" s="417"/>
      <c r="V52" s="53">
        <v>0</v>
      </c>
      <c r="W52" s="52"/>
      <c r="X52" s="53"/>
      <c r="Y52" s="518"/>
      <c r="Z52" s="417"/>
      <c r="AA52" s="53">
        <v>0</v>
      </c>
      <c r="AB52" s="52"/>
      <c r="AC52" s="53"/>
      <c r="AD52" s="518"/>
      <c r="AE52" s="417"/>
      <c r="AF52" s="53">
        <v>0</v>
      </c>
      <c r="AG52" s="52"/>
      <c r="AH52" s="53"/>
      <c r="AI52" s="518"/>
      <c r="AJ52" s="417"/>
      <c r="AK52" s="53">
        <v>0</v>
      </c>
      <c r="AL52" s="52"/>
      <c r="AM52" s="53"/>
      <c r="AN52" s="518"/>
      <c r="AO52" s="417"/>
      <c r="AP52" s="53">
        <v>0</v>
      </c>
      <c r="AQ52" s="52"/>
      <c r="AR52" s="53"/>
      <c r="AS52" s="518"/>
      <c r="AT52" s="417"/>
      <c r="AU52" s="53">
        <v>0</v>
      </c>
      <c r="AV52" s="52"/>
      <c r="AW52" s="53"/>
      <c r="AX52" s="518"/>
      <c r="AY52" s="417"/>
      <c r="AZ52" s="53">
        <v>0</v>
      </c>
      <c r="BA52" s="52"/>
      <c r="BB52" s="53"/>
      <c r="BC52" s="518"/>
      <c r="BD52" s="417"/>
      <c r="BE52" s="53">
        <v>0</v>
      </c>
      <c r="BF52" s="52"/>
      <c r="BG52" s="53"/>
      <c r="BH52" s="518"/>
      <c r="BI52" s="417"/>
      <c r="BJ52" s="53">
        <v>0</v>
      </c>
      <c r="BK52" s="52"/>
      <c r="BL52" s="53"/>
      <c r="BM52" s="518"/>
      <c r="BN52" s="417"/>
      <c r="BO52" s="53">
        <v>0</v>
      </c>
      <c r="BP52" s="52"/>
      <c r="BQ52" s="53"/>
      <c r="BR52" s="518"/>
      <c r="BS52" s="518"/>
      <c r="BT52" s="53">
        <f>SUM(L52:BO52)</f>
        <v>0</v>
      </c>
      <c r="BU52" s="52"/>
      <c r="BV52" s="54"/>
      <c r="BW52" s="465"/>
      <c r="BX52" s="410"/>
      <c r="BY52" s="410"/>
    </row>
    <row r="53" spans="1:77" ht="12.75" hidden="1" customHeight="1" x14ac:dyDescent="0.2">
      <c r="A53" s="377"/>
      <c r="B53" s="377"/>
      <c r="D53" s="465" t="s">
        <v>461</v>
      </c>
      <c r="E53" s="417"/>
      <c r="F53" s="478"/>
      <c r="G53" s="102">
        <v>0</v>
      </c>
      <c r="H53" s="101"/>
      <c r="I53" s="53"/>
      <c r="J53" s="518"/>
      <c r="K53" s="522"/>
      <c r="L53" s="102">
        <v>0</v>
      </c>
      <c r="M53" s="101"/>
      <c r="N53" s="53"/>
      <c r="O53" s="518"/>
      <c r="P53" s="478"/>
      <c r="Q53" s="102">
        <v>0</v>
      </c>
      <c r="R53" s="101"/>
      <c r="S53" s="53"/>
      <c r="T53" s="518"/>
      <c r="U53" s="478"/>
      <c r="V53" s="102">
        <v>0</v>
      </c>
      <c r="W53" s="101"/>
      <c r="X53" s="53"/>
      <c r="Y53" s="518"/>
      <c r="Z53" s="478"/>
      <c r="AA53" s="102">
        <v>0</v>
      </c>
      <c r="AB53" s="101"/>
      <c r="AC53" s="53"/>
      <c r="AD53" s="518"/>
      <c r="AE53" s="478"/>
      <c r="AF53" s="102">
        <v>0</v>
      </c>
      <c r="AG53" s="101"/>
      <c r="AH53" s="53"/>
      <c r="AI53" s="518"/>
      <c r="AJ53" s="478"/>
      <c r="AK53" s="102">
        <v>0</v>
      </c>
      <c r="AL53" s="101"/>
      <c r="AM53" s="53"/>
      <c r="AN53" s="518"/>
      <c r="AO53" s="478"/>
      <c r="AP53" s="102">
        <v>0</v>
      </c>
      <c r="AQ53" s="101"/>
      <c r="AR53" s="53"/>
      <c r="AS53" s="518"/>
      <c r="AT53" s="478"/>
      <c r="AU53" s="102">
        <v>0</v>
      </c>
      <c r="AV53" s="101"/>
      <c r="AW53" s="53"/>
      <c r="AX53" s="518"/>
      <c r="AY53" s="478"/>
      <c r="AZ53" s="102">
        <v>0</v>
      </c>
      <c r="BA53" s="101"/>
      <c r="BB53" s="53"/>
      <c r="BC53" s="518"/>
      <c r="BD53" s="478"/>
      <c r="BE53" s="102">
        <v>0</v>
      </c>
      <c r="BF53" s="101"/>
      <c r="BG53" s="53"/>
      <c r="BH53" s="518"/>
      <c r="BI53" s="478"/>
      <c r="BJ53" s="102">
        <v>0</v>
      </c>
      <c r="BK53" s="101"/>
      <c r="BL53" s="53"/>
      <c r="BM53" s="518"/>
      <c r="BN53" s="478"/>
      <c r="BO53" s="102">
        <v>0</v>
      </c>
      <c r="BP53" s="101"/>
      <c r="BQ53" s="53"/>
      <c r="BR53" s="518"/>
      <c r="BS53" s="522"/>
      <c r="BT53" s="102">
        <f>SUM(L53:BO53)</f>
        <v>0</v>
      </c>
      <c r="BU53" s="101"/>
      <c r="BV53" s="54"/>
      <c r="BW53" s="465"/>
      <c r="BX53" s="410"/>
      <c r="BY53" s="410"/>
    </row>
    <row r="54" spans="1:77" hidden="1" x14ac:dyDescent="0.2">
      <c r="A54" s="377"/>
      <c r="B54" s="377"/>
      <c r="D54" s="465"/>
      <c r="E54" s="417"/>
      <c r="F54" s="377"/>
      <c r="G54" s="53"/>
      <c r="H54" s="53"/>
      <c r="I54" s="53"/>
      <c r="J54" s="518"/>
      <c r="K54" s="53"/>
      <c r="L54" s="53"/>
      <c r="M54" s="53"/>
      <c r="N54" s="53"/>
      <c r="O54" s="518"/>
      <c r="P54" s="53"/>
      <c r="Q54" s="53"/>
      <c r="R54" s="53"/>
      <c r="S54" s="53"/>
      <c r="T54" s="518"/>
      <c r="U54" s="53"/>
      <c r="V54" s="53"/>
      <c r="W54" s="53"/>
      <c r="X54" s="53"/>
      <c r="Y54" s="518"/>
      <c r="Z54" s="53"/>
      <c r="AA54" s="53"/>
      <c r="AB54" s="53"/>
      <c r="AC54" s="53"/>
      <c r="AD54" s="518"/>
      <c r="AE54" s="53"/>
      <c r="AF54" s="53"/>
      <c r="AG54" s="53"/>
      <c r="AH54" s="53"/>
      <c r="AI54" s="518"/>
      <c r="AJ54" s="53"/>
      <c r="AK54" s="53"/>
      <c r="AL54" s="53"/>
      <c r="AM54" s="53"/>
      <c r="AN54" s="518"/>
      <c r="AO54" s="53"/>
      <c r="AP54" s="53"/>
      <c r="AQ54" s="53"/>
      <c r="AR54" s="53"/>
      <c r="AS54" s="518"/>
      <c r="AT54" s="53"/>
      <c r="AU54" s="53"/>
      <c r="AV54" s="53"/>
      <c r="AW54" s="53"/>
      <c r="AX54" s="518"/>
      <c r="AY54" s="53"/>
      <c r="AZ54" s="53"/>
      <c r="BA54" s="53"/>
      <c r="BB54" s="53"/>
      <c r="BC54" s="518"/>
      <c r="BD54" s="53"/>
      <c r="BE54" s="53"/>
      <c r="BF54" s="53"/>
      <c r="BG54" s="53"/>
      <c r="BH54" s="518"/>
      <c r="BI54" s="53"/>
      <c r="BJ54" s="53"/>
      <c r="BK54" s="53"/>
      <c r="BL54" s="53"/>
      <c r="BM54" s="518"/>
      <c r="BN54" s="53"/>
      <c r="BO54" s="53"/>
      <c r="BP54" s="53"/>
      <c r="BQ54" s="53"/>
      <c r="BR54" s="518"/>
      <c r="BS54" s="53"/>
      <c r="BT54" s="53"/>
      <c r="BU54" s="53"/>
      <c r="BV54" s="54"/>
      <c r="BW54" s="465"/>
      <c r="BX54" s="410"/>
      <c r="BY54" s="410"/>
    </row>
    <row r="55" spans="1:77" x14ac:dyDescent="0.2">
      <c r="A55" s="377"/>
      <c r="B55" s="377"/>
      <c r="D55" s="465" t="s">
        <v>398</v>
      </c>
      <c r="E55" s="417"/>
      <c r="F55" s="377"/>
      <c r="G55" s="53">
        <f>SUM(G56:G58)</f>
        <v>0</v>
      </c>
      <c r="H55" s="53"/>
      <c r="I55" s="53"/>
      <c r="J55" s="518"/>
      <c r="K55" s="53"/>
      <c r="L55" s="53">
        <f>SUM(L56:L58)</f>
        <v>0</v>
      </c>
      <c r="M55" s="53"/>
      <c r="N55" s="53"/>
      <c r="O55" s="518"/>
      <c r="P55" s="377"/>
      <c r="Q55" s="53">
        <f>SUM(Q56:Q58)</f>
        <v>0</v>
      </c>
      <c r="R55" s="53"/>
      <c r="S55" s="53"/>
      <c r="T55" s="518"/>
      <c r="U55" s="377"/>
      <c r="V55" s="53">
        <f>SUM(V56:V58)</f>
        <v>0</v>
      </c>
      <c r="W55" s="53"/>
      <c r="X55" s="53"/>
      <c r="Y55" s="518"/>
      <c r="Z55" s="377"/>
      <c r="AA55" s="53">
        <f>SUM(AA56:AA58)</f>
        <v>0</v>
      </c>
      <c r="AB55" s="53"/>
      <c r="AC55" s="53"/>
      <c r="AD55" s="518"/>
      <c r="AE55" s="377"/>
      <c r="AF55" s="53">
        <f>SUM(AF56:AF58)</f>
        <v>0</v>
      </c>
      <c r="AG55" s="53"/>
      <c r="AH55" s="53"/>
      <c r="AI55" s="518"/>
      <c r="AJ55" s="377"/>
      <c r="AK55" s="53">
        <f>SUM(AK56:AK58)</f>
        <v>0</v>
      </c>
      <c r="AL55" s="53"/>
      <c r="AM55" s="53"/>
      <c r="AN55" s="518"/>
      <c r="AO55" s="377"/>
      <c r="AP55" s="53">
        <f>SUM(AP56:AP58)</f>
        <v>0</v>
      </c>
      <c r="AQ55" s="53"/>
      <c r="AR55" s="53"/>
      <c r="AS55" s="518"/>
      <c r="AT55" s="377"/>
      <c r="AU55" s="53">
        <f>SUM(AU56:AU58)</f>
        <v>0</v>
      </c>
      <c r="AV55" s="53"/>
      <c r="AW55" s="53"/>
      <c r="AX55" s="518"/>
      <c r="AY55" s="377"/>
      <c r="AZ55" s="53">
        <f>SUM(AZ56:AZ58)</f>
        <v>0</v>
      </c>
      <c r="BA55" s="53"/>
      <c r="BB55" s="53"/>
      <c r="BC55" s="518"/>
      <c r="BD55" s="377"/>
      <c r="BE55" s="53">
        <f>SUM(BE56:BE58)</f>
        <v>0</v>
      </c>
      <c r="BF55" s="53"/>
      <c r="BG55" s="53"/>
      <c r="BH55" s="518"/>
      <c r="BI55" s="377"/>
      <c r="BJ55" s="53">
        <f>SUM(BJ56:BJ58)</f>
        <v>0</v>
      </c>
      <c r="BK55" s="53"/>
      <c r="BL55" s="53"/>
      <c r="BM55" s="518"/>
      <c r="BN55" s="377"/>
      <c r="BO55" s="53">
        <f>SUM(BO56:BO58)</f>
        <v>0</v>
      </c>
      <c r="BP55" s="53"/>
      <c r="BQ55" s="53"/>
      <c r="BR55" s="518"/>
      <c r="BS55" s="102"/>
      <c r="BT55" s="102">
        <f>SUM(BT56:BT58)</f>
        <v>0</v>
      </c>
      <c r="BU55" s="53"/>
      <c r="BV55" s="54"/>
      <c r="BW55" s="465"/>
      <c r="BX55" s="410"/>
      <c r="BY55" s="410"/>
    </row>
    <row r="56" spans="1:77" x14ac:dyDescent="0.2">
      <c r="A56" s="377"/>
      <c r="B56" s="377"/>
      <c r="D56" s="465" t="s">
        <v>378</v>
      </c>
      <c r="E56" s="417"/>
      <c r="F56" s="469"/>
      <c r="G56" s="520">
        <v>0</v>
      </c>
      <c r="H56" s="521"/>
      <c r="I56" s="53"/>
      <c r="J56" s="518"/>
      <c r="K56" s="519"/>
      <c r="L56" s="520">
        <v>0</v>
      </c>
      <c r="M56" s="521"/>
      <c r="N56" s="53"/>
      <c r="O56" s="518"/>
      <c r="P56" s="469"/>
      <c r="Q56" s="520">
        <v>0</v>
      </c>
      <c r="R56" s="521"/>
      <c r="S56" s="53"/>
      <c r="T56" s="518"/>
      <c r="U56" s="469"/>
      <c r="V56" s="520">
        <v>0</v>
      </c>
      <c r="W56" s="521"/>
      <c r="X56" s="53"/>
      <c r="Y56" s="518"/>
      <c r="Z56" s="469"/>
      <c r="AA56" s="520">
        <v>0</v>
      </c>
      <c r="AB56" s="521"/>
      <c r="AC56" s="53"/>
      <c r="AD56" s="518"/>
      <c r="AE56" s="469"/>
      <c r="AF56" s="520">
        <v>0</v>
      </c>
      <c r="AG56" s="521"/>
      <c r="AH56" s="53"/>
      <c r="AI56" s="518"/>
      <c r="AJ56" s="469"/>
      <c r="AK56" s="520">
        <v>0</v>
      </c>
      <c r="AL56" s="521"/>
      <c r="AM56" s="53"/>
      <c r="AN56" s="518"/>
      <c r="AO56" s="469"/>
      <c r="AP56" s="520">
        <v>0</v>
      </c>
      <c r="AQ56" s="521"/>
      <c r="AR56" s="53"/>
      <c r="AS56" s="518"/>
      <c r="AT56" s="469"/>
      <c r="AU56" s="520">
        <v>0</v>
      </c>
      <c r="AV56" s="521"/>
      <c r="AW56" s="53"/>
      <c r="AX56" s="518"/>
      <c r="AY56" s="469"/>
      <c r="AZ56" s="520">
        <v>0</v>
      </c>
      <c r="BA56" s="521"/>
      <c r="BB56" s="53"/>
      <c r="BC56" s="518"/>
      <c r="BD56" s="469"/>
      <c r="BE56" s="520">
        <v>0</v>
      </c>
      <c r="BF56" s="521"/>
      <c r="BG56" s="53"/>
      <c r="BH56" s="518"/>
      <c r="BI56" s="469"/>
      <c r="BJ56" s="520">
        <v>0</v>
      </c>
      <c r="BK56" s="521"/>
      <c r="BL56" s="53"/>
      <c r="BM56" s="518"/>
      <c r="BN56" s="469"/>
      <c r="BO56" s="520">
        <v>0</v>
      </c>
      <c r="BP56" s="521"/>
      <c r="BQ56" s="53"/>
      <c r="BR56" s="518"/>
      <c r="BS56" s="518"/>
      <c r="BT56" s="53">
        <f>SUM(L56:BO56)</f>
        <v>0</v>
      </c>
      <c r="BU56" s="521"/>
      <c r="BV56" s="54"/>
      <c r="BW56" s="465"/>
      <c r="BX56" s="410"/>
      <c r="BY56" s="410"/>
    </row>
    <row r="57" spans="1:77" x14ac:dyDescent="0.2">
      <c r="A57" s="377"/>
      <c r="B57" s="377"/>
      <c r="D57" s="465" t="s">
        <v>460</v>
      </c>
      <c r="E57" s="417"/>
      <c r="F57" s="417"/>
      <c r="G57" s="53">
        <v>0</v>
      </c>
      <c r="H57" s="52"/>
      <c r="I57" s="53"/>
      <c r="J57" s="518"/>
      <c r="K57" s="518"/>
      <c r="L57" s="53">
        <v>0</v>
      </c>
      <c r="M57" s="52"/>
      <c r="N57" s="53"/>
      <c r="O57" s="518"/>
      <c r="P57" s="417"/>
      <c r="Q57" s="53">
        <v>0</v>
      </c>
      <c r="R57" s="52"/>
      <c r="S57" s="53"/>
      <c r="T57" s="518"/>
      <c r="U57" s="417"/>
      <c r="V57" s="53">
        <v>0</v>
      </c>
      <c r="W57" s="52"/>
      <c r="X57" s="53"/>
      <c r="Y57" s="518"/>
      <c r="Z57" s="417"/>
      <c r="AA57" s="53">
        <v>0</v>
      </c>
      <c r="AB57" s="52"/>
      <c r="AC57" s="53"/>
      <c r="AD57" s="518"/>
      <c r="AE57" s="417"/>
      <c r="AF57" s="53">
        <v>0</v>
      </c>
      <c r="AG57" s="52"/>
      <c r="AH57" s="53"/>
      <c r="AI57" s="518"/>
      <c r="AJ57" s="417"/>
      <c r="AK57" s="53">
        <v>0</v>
      </c>
      <c r="AL57" s="52"/>
      <c r="AM57" s="53"/>
      <c r="AN57" s="518"/>
      <c r="AO57" s="417"/>
      <c r="AP57" s="53">
        <v>0</v>
      </c>
      <c r="AQ57" s="52"/>
      <c r="AR57" s="53"/>
      <c r="AS57" s="518"/>
      <c r="AT57" s="417"/>
      <c r="AU57" s="53">
        <v>0</v>
      </c>
      <c r="AV57" s="52"/>
      <c r="AW57" s="53"/>
      <c r="AX57" s="518"/>
      <c r="AY57" s="417"/>
      <c r="AZ57" s="53">
        <v>0</v>
      </c>
      <c r="BA57" s="52"/>
      <c r="BB57" s="53"/>
      <c r="BC57" s="518"/>
      <c r="BD57" s="417"/>
      <c r="BE57" s="53">
        <v>0</v>
      </c>
      <c r="BF57" s="52"/>
      <c r="BG57" s="53"/>
      <c r="BH57" s="518"/>
      <c r="BI57" s="417"/>
      <c r="BJ57" s="53">
        <v>0</v>
      </c>
      <c r="BK57" s="52"/>
      <c r="BL57" s="53"/>
      <c r="BM57" s="518"/>
      <c r="BN57" s="417"/>
      <c r="BO57" s="53">
        <v>0</v>
      </c>
      <c r="BP57" s="52"/>
      <c r="BQ57" s="53"/>
      <c r="BR57" s="518"/>
      <c r="BS57" s="518"/>
      <c r="BT57" s="53">
        <f>SUM(L57:BO57)</f>
        <v>0</v>
      </c>
      <c r="BU57" s="52"/>
      <c r="BV57" s="54"/>
      <c r="BW57" s="465"/>
      <c r="BX57" s="410"/>
      <c r="BY57" s="410"/>
    </row>
    <row r="58" spans="1:77" x14ac:dyDescent="0.2">
      <c r="A58" s="377"/>
      <c r="B58" s="377"/>
      <c r="D58" s="465" t="s">
        <v>461</v>
      </c>
      <c r="E58" s="417"/>
      <c r="F58" s="478"/>
      <c r="G58" s="102">
        <v>0</v>
      </c>
      <c r="H58" s="101"/>
      <c r="I58" s="53"/>
      <c r="J58" s="518"/>
      <c r="K58" s="522"/>
      <c r="L58" s="102">
        <v>0</v>
      </c>
      <c r="M58" s="101"/>
      <c r="N58" s="53"/>
      <c r="O58" s="518"/>
      <c r="P58" s="478"/>
      <c r="Q58" s="102">
        <v>0</v>
      </c>
      <c r="R58" s="101"/>
      <c r="S58" s="53"/>
      <c r="T58" s="518"/>
      <c r="U58" s="478"/>
      <c r="V58" s="102">
        <v>0</v>
      </c>
      <c r="W58" s="101"/>
      <c r="X58" s="53"/>
      <c r="Y58" s="518"/>
      <c r="Z58" s="478"/>
      <c r="AA58" s="102">
        <v>0</v>
      </c>
      <c r="AB58" s="101"/>
      <c r="AC58" s="53"/>
      <c r="AD58" s="518"/>
      <c r="AE58" s="478"/>
      <c r="AF58" s="102">
        <v>0</v>
      </c>
      <c r="AG58" s="101"/>
      <c r="AH58" s="53"/>
      <c r="AI58" s="518"/>
      <c r="AJ58" s="478"/>
      <c r="AK58" s="102">
        <v>0</v>
      </c>
      <c r="AL58" s="101"/>
      <c r="AM58" s="53"/>
      <c r="AN58" s="518"/>
      <c r="AO58" s="478"/>
      <c r="AP58" s="102">
        <v>0</v>
      </c>
      <c r="AQ58" s="101"/>
      <c r="AR58" s="53"/>
      <c r="AS58" s="518"/>
      <c r="AT58" s="478"/>
      <c r="AU58" s="102">
        <v>0</v>
      </c>
      <c r="AV58" s="101"/>
      <c r="AW58" s="53"/>
      <c r="AX58" s="518"/>
      <c r="AY58" s="478"/>
      <c r="AZ58" s="102">
        <v>0</v>
      </c>
      <c r="BA58" s="101"/>
      <c r="BB58" s="53"/>
      <c r="BC58" s="518"/>
      <c r="BD58" s="478"/>
      <c r="BE58" s="102">
        <v>0</v>
      </c>
      <c r="BF58" s="101"/>
      <c r="BG58" s="53"/>
      <c r="BH58" s="518"/>
      <c r="BI58" s="478"/>
      <c r="BJ58" s="102">
        <v>0</v>
      </c>
      <c r="BK58" s="101"/>
      <c r="BL58" s="53"/>
      <c r="BM58" s="518"/>
      <c r="BN58" s="478"/>
      <c r="BO58" s="102">
        <v>0</v>
      </c>
      <c r="BP58" s="101"/>
      <c r="BQ58" s="53"/>
      <c r="BR58" s="518"/>
      <c r="BS58" s="522"/>
      <c r="BT58" s="102">
        <f>SUM(L58:BO58)</f>
        <v>0</v>
      </c>
      <c r="BU58" s="101"/>
      <c r="BV58" s="54"/>
      <c r="BW58" s="465"/>
      <c r="BX58" s="410"/>
      <c r="BY58" s="410"/>
    </row>
    <row r="59" spans="1:77" hidden="1" x14ac:dyDescent="0.2">
      <c r="A59" s="377"/>
      <c r="B59" s="377"/>
      <c r="D59" s="465"/>
      <c r="E59" s="417"/>
      <c r="F59" s="377"/>
      <c r="G59" s="53"/>
      <c r="H59" s="53"/>
      <c r="I59" s="53"/>
      <c r="J59" s="518"/>
      <c r="K59" s="53"/>
      <c r="L59" s="53"/>
      <c r="M59" s="53"/>
      <c r="N59" s="53"/>
      <c r="O59" s="518"/>
      <c r="P59" s="53"/>
      <c r="Q59" s="53"/>
      <c r="R59" s="53"/>
      <c r="S59" s="53"/>
      <c r="T59" s="518"/>
      <c r="U59" s="53"/>
      <c r="V59" s="53"/>
      <c r="W59" s="53"/>
      <c r="X59" s="53"/>
      <c r="Y59" s="518"/>
      <c r="Z59" s="53"/>
      <c r="AA59" s="53"/>
      <c r="AB59" s="53"/>
      <c r="AC59" s="53"/>
      <c r="AD59" s="518"/>
      <c r="AE59" s="53"/>
      <c r="AF59" s="53"/>
      <c r="AG59" s="53"/>
      <c r="AH59" s="53"/>
      <c r="AI59" s="518"/>
      <c r="AJ59" s="53"/>
      <c r="AK59" s="53"/>
      <c r="AL59" s="53"/>
      <c r="AM59" s="53"/>
      <c r="AN59" s="518"/>
      <c r="AO59" s="53"/>
      <c r="AP59" s="53"/>
      <c r="AQ59" s="53"/>
      <c r="AR59" s="53"/>
      <c r="AS59" s="518"/>
      <c r="AT59" s="53"/>
      <c r="AU59" s="53"/>
      <c r="AV59" s="53"/>
      <c r="AW59" s="53"/>
      <c r="AX59" s="518"/>
      <c r="AY59" s="53"/>
      <c r="AZ59" s="53"/>
      <c r="BA59" s="53"/>
      <c r="BB59" s="53"/>
      <c r="BC59" s="518"/>
      <c r="BD59" s="53"/>
      <c r="BE59" s="53"/>
      <c r="BF59" s="53"/>
      <c r="BG59" s="53"/>
      <c r="BH59" s="518"/>
      <c r="BI59" s="53"/>
      <c r="BJ59" s="53"/>
      <c r="BK59" s="53"/>
      <c r="BL59" s="53"/>
      <c r="BM59" s="518"/>
      <c r="BN59" s="53"/>
      <c r="BO59" s="53"/>
      <c r="BP59" s="53"/>
      <c r="BQ59" s="53"/>
      <c r="BR59" s="518"/>
      <c r="BS59" s="53"/>
      <c r="BT59" s="53"/>
      <c r="BU59" s="53"/>
      <c r="BV59" s="54"/>
      <c r="BW59" s="465"/>
      <c r="BX59" s="410"/>
      <c r="BY59" s="410"/>
    </row>
    <row r="60" spans="1:77" hidden="1" x14ac:dyDescent="0.2">
      <c r="A60" s="377"/>
      <c r="B60" s="377"/>
      <c r="D60" s="465" t="s">
        <v>395</v>
      </c>
      <c r="E60" s="417"/>
      <c r="F60" s="377"/>
      <c r="G60" s="53">
        <f>SUM(G61:G63)</f>
        <v>0</v>
      </c>
      <c r="H60" s="53"/>
      <c r="I60" s="53"/>
      <c r="J60" s="518"/>
      <c r="K60" s="53"/>
      <c r="L60" s="53">
        <f>SUM(L61:L63)</f>
        <v>0</v>
      </c>
      <c r="M60" s="53"/>
      <c r="N60" s="53"/>
      <c r="O60" s="518"/>
      <c r="P60" s="377"/>
      <c r="Q60" s="53">
        <f>SUM(Q61:Q63)</f>
        <v>0</v>
      </c>
      <c r="R60" s="53"/>
      <c r="S60" s="53"/>
      <c r="T60" s="518"/>
      <c r="U60" s="377"/>
      <c r="V60" s="53">
        <f>SUM(V61:V63)</f>
        <v>0</v>
      </c>
      <c r="W60" s="53"/>
      <c r="X60" s="53"/>
      <c r="Y60" s="518"/>
      <c r="Z60" s="377"/>
      <c r="AA60" s="53">
        <f>SUM(AA61:AA63)</f>
        <v>0</v>
      </c>
      <c r="AB60" s="53"/>
      <c r="AC60" s="53"/>
      <c r="AD60" s="518"/>
      <c r="AE60" s="377"/>
      <c r="AF60" s="53">
        <f>SUM(AF61:AF63)</f>
        <v>0</v>
      </c>
      <c r="AG60" s="53"/>
      <c r="AH60" s="53"/>
      <c r="AI60" s="518"/>
      <c r="AJ60" s="377"/>
      <c r="AK60" s="53">
        <f>SUM(AK61:AK63)</f>
        <v>0</v>
      </c>
      <c r="AL60" s="53"/>
      <c r="AM60" s="53"/>
      <c r="AN60" s="518"/>
      <c r="AO60" s="377"/>
      <c r="AP60" s="53">
        <f>SUM(AP61:AP63)</f>
        <v>0</v>
      </c>
      <c r="AQ60" s="53"/>
      <c r="AR60" s="53"/>
      <c r="AS60" s="518"/>
      <c r="AT60" s="377"/>
      <c r="AU60" s="53">
        <f>SUM(AU61:AU63)</f>
        <v>0</v>
      </c>
      <c r="AV60" s="53"/>
      <c r="AW60" s="53"/>
      <c r="AX60" s="518"/>
      <c r="AY60" s="377"/>
      <c r="AZ60" s="53">
        <f>SUM(AZ61:AZ63)</f>
        <v>0</v>
      </c>
      <c r="BA60" s="53"/>
      <c r="BB60" s="53"/>
      <c r="BC60" s="518"/>
      <c r="BD60" s="377"/>
      <c r="BE60" s="53">
        <f>SUM(BE61:BE63)</f>
        <v>0</v>
      </c>
      <c r="BF60" s="53"/>
      <c r="BG60" s="53"/>
      <c r="BH60" s="518"/>
      <c r="BI60" s="377"/>
      <c r="BJ60" s="53">
        <f>SUM(BJ61:BJ63)</f>
        <v>0</v>
      </c>
      <c r="BK60" s="53"/>
      <c r="BL60" s="53"/>
      <c r="BM60" s="518"/>
      <c r="BN60" s="377"/>
      <c r="BO60" s="53">
        <f>SUM(BO61:BO63)</f>
        <v>0</v>
      </c>
      <c r="BP60" s="53"/>
      <c r="BQ60" s="53"/>
      <c r="BR60" s="518"/>
      <c r="BS60" s="102"/>
      <c r="BT60" s="102">
        <f>SUM(BT61:BT63)</f>
        <v>0</v>
      </c>
      <c r="BU60" s="53"/>
      <c r="BV60" s="54"/>
      <c r="BW60" s="465"/>
      <c r="BX60" s="410"/>
      <c r="BY60" s="410"/>
    </row>
    <row r="61" spans="1:77" hidden="1" x14ac:dyDescent="0.2">
      <c r="A61" s="377"/>
      <c r="B61" s="377"/>
      <c r="D61" s="465" t="s">
        <v>378</v>
      </c>
      <c r="E61" s="417"/>
      <c r="F61" s="469"/>
      <c r="G61" s="520">
        <v>0</v>
      </c>
      <c r="H61" s="521"/>
      <c r="I61" s="53"/>
      <c r="J61" s="518"/>
      <c r="K61" s="519"/>
      <c r="L61" s="520">
        <v>0</v>
      </c>
      <c r="M61" s="521"/>
      <c r="N61" s="53"/>
      <c r="O61" s="518"/>
      <c r="P61" s="469"/>
      <c r="Q61" s="520">
        <v>0</v>
      </c>
      <c r="R61" s="521"/>
      <c r="S61" s="53"/>
      <c r="T61" s="518"/>
      <c r="U61" s="469"/>
      <c r="V61" s="520">
        <v>0</v>
      </c>
      <c r="W61" s="521"/>
      <c r="X61" s="53"/>
      <c r="Y61" s="518"/>
      <c r="Z61" s="469"/>
      <c r="AA61" s="520">
        <v>0</v>
      </c>
      <c r="AB61" s="521"/>
      <c r="AC61" s="53"/>
      <c r="AD61" s="518"/>
      <c r="AE61" s="469"/>
      <c r="AF61" s="520">
        <v>0</v>
      </c>
      <c r="AG61" s="521"/>
      <c r="AH61" s="53"/>
      <c r="AI61" s="518"/>
      <c r="AJ61" s="469"/>
      <c r="AK61" s="520">
        <v>0</v>
      </c>
      <c r="AL61" s="521"/>
      <c r="AM61" s="53"/>
      <c r="AN61" s="518"/>
      <c r="AO61" s="469"/>
      <c r="AP61" s="520">
        <v>0</v>
      </c>
      <c r="AQ61" s="521"/>
      <c r="AR61" s="53"/>
      <c r="AS61" s="518"/>
      <c r="AT61" s="469"/>
      <c r="AU61" s="520">
        <v>0</v>
      </c>
      <c r="AV61" s="521"/>
      <c r="AW61" s="53"/>
      <c r="AX61" s="518"/>
      <c r="AY61" s="469"/>
      <c r="AZ61" s="520">
        <v>0</v>
      </c>
      <c r="BA61" s="521"/>
      <c r="BB61" s="53"/>
      <c r="BC61" s="518"/>
      <c r="BD61" s="469"/>
      <c r="BE61" s="520">
        <v>0</v>
      </c>
      <c r="BF61" s="521"/>
      <c r="BG61" s="53"/>
      <c r="BH61" s="518"/>
      <c r="BI61" s="469"/>
      <c r="BJ61" s="520">
        <v>0</v>
      </c>
      <c r="BK61" s="521"/>
      <c r="BL61" s="53"/>
      <c r="BM61" s="518"/>
      <c r="BN61" s="469"/>
      <c r="BO61" s="520">
        <v>0</v>
      </c>
      <c r="BP61" s="521"/>
      <c r="BQ61" s="53"/>
      <c r="BR61" s="518"/>
      <c r="BS61" s="518"/>
      <c r="BT61" s="53">
        <f>SUM(L61:BO61)</f>
        <v>0</v>
      </c>
      <c r="BU61" s="521"/>
      <c r="BV61" s="54"/>
      <c r="BW61" s="465"/>
      <c r="BX61" s="410"/>
      <c r="BY61" s="410"/>
    </row>
    <row r="62" spans="1:77" hidden="1" x14ac:dyDescent="0.2">
      <c r="A62" s="377"/>
      <c r="B62" s="377"/>
      <c r="D62" s="465" t="s">
        <v>460</v>
      </c>
      <c r="E62" s="417"/>
      <c r="F62" s="417"/>
      <c r="G62" s="53">
        <v>0</v>
      </c>
      <c r="H62" s="52"/>
      <c r="I62" s="53"/>
      <c r="J62" s="518"/>
      <c r="K62" s="518"/>
      <c r="L62" s="53">
        <v>0</v>
      </c>
      <c r="M62" s="52"/>
      <c r="N62" s="53"/>
      <c r="O62" s="518"/>
      <c r="P62" s="417"/>
      <c r="Q62" s="53">
        <v>0</v>
      </c>
      <c r="R62" s="52"/>
      <c r="S62" s="53"/>
      <c r="T62" s="518"/>
      <c r="U62" s="417"/>
      <c r="V62" s="53">
        <v>0</v>
      </c>
      <c r="W62" s="52"/>
      <c r="X62" s="53"/>
      <c r="Y62" s="518"/>
      <c r="Z62" s="417"/>
      <c r="AA62" s="53">
        <v>0</v>
      </c>
      <c r="AB62" s="52"/>
      <c r="AC62" s="53"/>
      <c r="AD62" s="518"/>
      <c r="AE62" s="417"/>
      <c r="AF62" s="53">
        <v>0</v>
      </c>
      <c r="AG62" s="52"/>
      <c r="AH62" s="53"/>
      <c r="AI62" s="518"/>
      <c r="AJ62" s="417"/>
      <c r="AK62" s="53">
        <v>0</v>
      </c>
      <c r="AL62" s="52"/>
      <c r="AM62" s="53"/>
      <c r="AN62" s="518"/>
      <c r="AO62" s="417"/>
      <c r="AP62" s="53">
        <v>0</v>
      </c>
      <c r="AQ62" s="52"/>
      <c r="AR62" s="53"/>
      <c r="AS62" s="518"/>
      <c r="AT62" s="417"/>
      <c r="AU62" s="53">
        <v>0</v>
      </c>
      <c r="AV62" s="52"/>
      <c r="AW62" s="53"/>
      <c r="AX62" s="518"/>
      <c r="AY62" s="417"/>
      <c r="AZ62" s="53">
        <v>0</v>
      </c>
      <c r="BA62" s="52"/>
      <c r="BB62" s="53"/>
      <c r="BC62" s="518"/>
      <c r="BD62" s="417"/>
      <c r="BE62" s="53">
        <v>0</v>
      </c>
      <c r="BF62" s="52"/>
      <c r="BG62" s="53"/>
      <c r="BH62" s="518"/>
      <c r="BI62" s="417"/>
      <c r="BJ62" s="53">
        <v>0</v>
      </c>
      <c r="BK62" s="52"/>
      <c r="BL62" s="53"/>
      <c r="BM62" s="518"/>
      <c r="BN62" s="417"/>
      <c r="BO62" s="53">
        <v>0</v>
      </c>
      <c r="BP62" s="52"/>
      <c r="BQ62" s="53"/>
      <c r="BR62" s="518"/>
      <c r="BS62" s="518"/>
      <c r="BT62" s="53">
        <f>SUM(L62:BO62)</f>
        <v>0</v>
      </c>
      <c r="BU62" s="52"/>
      <c r="BV62" s="54"/>
      <c r="BW62" s="465"/>
      <c r="BX62" s="410"/>
      <c r="BY62" s="410"/>
    </row>
    <row r="63" spans="1:77" hidden="1" x14ac:dyDescent="0.2">
      <c r="A63" s="377"/>
      <c r="B63" s="377"/>
      <c r="D63" s="465" t="s">
        <v>461</v>
      </c>
      <c r="E63" s="417"/>
      <c r="F63" s="478"/>
      <c r="G63" s="102">
        <v>0</v>
      </c>
      <c r="H63" s="101"/>
      <c r="I63" s="53"/>
      <c r="J63" s="518"/>
      <c r="K63" s="522"/>
      <c r="L63" s="102">
        <v>0</v>
      </c>
      <c r="M63" s="101"/>
      <c r="N63" s="53"/>
      <c r="O63" s="518"/>
      <c r="P63" s="478"/>
      <c r="Q63" s="102">
        <v>0</v>
      </c>
      <c r="R63" s="101"/>
      <c r="S63" s="53"/>
      <c r="T63" s="518"/>
      <c r="U63" s="478"/>
      <c r="V63" s="102">
        <v>0</v>
      </c>
      <c r="W63" s="101"/>
      <c r="X63" s="53"/>
      <c r="Y63" s="518"/>
      <c r="Z63" s="478"/>
      <c r="AA63" s="102">
        <v>0</v>
      </c>
      <c r="AB63" s="101"/>
      <c r="AC63" s="53"/>
      <c r="AD63" s="518"/>
      <c r="AE63" s="478"/>
      <c r="AF63" s="102">
        <v>0</v>
      </c>
      <c r="AG63" s="101"/>
      <c r="AH63" s="53"/>
      <c r="AI63" s="518"/>
      <c r="AJ63" s="478"/>
      <c r="AK63" s="102">
        <v>0</v>
      </c>
      <c r="AL63" s="101"/>
      <c r="AM63" s="53"/>
      <c r="AN63" s="518"/>
      <c r="AO63" s="478"/>
      <c r="AP63" s="102">
        <v>0</v>
      </c>
      <c r="AQ63" s="101"/>
      <c r="AR63" s="53"/>
      <c r="AS63" s="518"/>
      <c r="AT63" s="478"/>
      <c r="AU63" s="102">
        <v>0</v>
      </c>
      <c r="AV63" s="101"/>
      <c r="AW63" s="53"/>
      <c r="AX63" s="518"/>
      <c r="AY63" s="478"/>
      <c r="AZ63" s="102">
        <v>0</v>
      </c>
      <c r="BA63" s="101"/>
      <c r="BB63" s="53"/>
      <c r="BC63" s="518"/>
      <c r="BD63" s="478"/>
      <c r="BE63" s="102">
        <v>0</v>
      </c>
      <c r="BF63" s="101"/>
      <c r="BG63" s="53"/>
      <c r="BH63" s="518"/>
      <c r="BI63" s="478"/>
      <c r="BJ63" s="102">
        <v>0</v>
      </c>
      <c r="BK63" s="101"/>
      <c r="BL63" s="53"/>
      <c r="BM63" s="518"/>
      <c r="BN63" s="478"/>
      <c r="BO63" s="102">
        <v>0</v>
      </c>
      <c r="BP63" s="101"/>
      <c r="BQ63" s="53"/>
      <c r="BR63" s="518"/>
      <c r="BS63" s="522"/>
      <c r="BT63" s="102">
        <f>SUM(L63:BO63)</f>
        <v>0</v>
      </c>
      <c r="BU63" s="101"/>
      <c r="BV63" s="54"/>
      <c r="BW63" s="465"/>
      <c r="BX63" s="410"/>
      <c r="BY63" s="410"/>
    </row>
    <row r="64" spans="1:77" x14ac:dyDescent="0.2">
      <c r="A64" s="377"/>
      <c r="B64" s="377"/>
      <c r="D64" s="465"/>
      <c r="E64" s="417"/>
      <c r="F64" s="377"/>
      <c r="G64" s="53"/>
      <c r="H64" s="53"/>
      <c r="I64" s="53"/>
      <c r="J64" s="518"/>
      <c r="K64" s="53"/>
      <c r="L64" s="53"/>
      <c r="M64" s="53"/>
      <c r="N64" s="53"/>
      <c r="O64" s="518"/>
      <c r="P64" s="53"/>
      <c r="Q64" s="53"/>
      <c r="R64" s="53"/>
      <c r="S64" s="53"/>
      <c r="T64" s="518"/>
      <c r="U64" s="53"/>
      <c r="V64" s="53"/>
      <c r="W64" s="53"/>
      <c r="X64" s="53"/>
      <c r="Y64" s="518"/>
      <c r="Z64" s="53"/>
      <c r="AA64" s="53"/>
      <c r="AB64" s="53"/>
      <c r="AC64" s="53"/>
      <c r="AD64" s="518"/>
      <c r="AE64" s="53"/>
      <c r="AF64" s="53"/>
      <c r="AG64" s="53"/>
      <c r="AH64" s="53"/>
      <c r="AI64" s="518"/>
      <c r="AJ64" s="53"/>
      <c r="AK64" s="53"/>
      <c r="AL64" s="53"/>
      <c r="AM64" s="53"/>
      <c r="AN64" s="518"/>
      <c r="AO64" s="53"/>
      <c r="AP64" s="53"/>
      <c r="AQ64" s="53"/>
      <c r="AR64" s="53"/>
      <c r="AS64" s="518"/>
      <c r="AT64" s="53"/>
      <c r="AU64" s="53"/>
      <c r="AV64" s="53"/>
      <c r="AW64" s="53"/>
      <c r="AX64" s="518"/>
      <c r="AY64" s="53"/>
      <c r="AZ64" s="53"/>
      <c r="BA64" s="53"/>
      <c r="BB64" s="53"/>
      <c r="BC64" s="518"/>
      <c r="BD64" s="53"/>
      <c r="BE64" s="53"/>
      <c r="BF64" s="53"/>
      <c r="BG64" s="53"/>
      <c r="BH64" s="518"/>
      <c r="BI64" s="53"/>
      <c r="BJ64" s="53"/>
      <c r="BK64" s="53"/>
      <c r="BL64" s="53"/>
      <c r="BM64" s="518"/>
      <c r="BN64" s="53"/>
      <c r="BO64" s="53"/>
      <c r="BP64" s="53"/>
      <c r="BQ64" s="53"/>
      <c r="BR64" s="518"/>
      <c r="BS64" s="53"/>
      <c r="BT64" s="53"/>
      <c r="BU64" s="53"/>
      <c r="BV64" s="54"/>
      <c r="BW64" s="465"/>
      <c r="BX64" s="410"/>
      <c r="BY64" s="410"/>
    </row>
    <row r="65" spans="1:77" s="410" customFormat="1" x14ac:dyDescent="0.2">
      <c r="A65" s="411"/>
      <c r="B65" s="411"/>
      <c r="D65" s="455" t="s">
        <v>465</v>
      </c>
      <c r="E65" s="485"/>
      <c r="F65" s="411"/>
      <c r="G65" s="42">
        <f>SUM(G66:G66)</f>
        <v>0</v>
      </c>
      <c r="H65" s="42"/>
      <c r="I65" s="42"/>
      <c r="J65" s="523"/>
      <c r="K65" s="42"/>
      <c r="L65" s="42">
        <f>SUM(L66:L66)</f>
        <v>487336</v>
      </c>
      <c r="M65" s="42"/>
      <c r="N65" s="42"/>
      <c r="O65" s="523"/>
      <c r="P65" s="42"/>
      <c r="Q65" s="42">
        <f>SUM(Q66:Q66)</f>
        <v>29682</v>
      </c>
      <c r="R65" s="42"/>
      <c r="S65" s="42"/>
      <c r="T65" s="523"/>
      <c r="U65" s="42"/>
      <c r="V65" s="42">
        <f>SUM(V66:V66)</f>
        <v>28489</v>
      </c>
      <c r="W65" s="42"/>
      <c r="X65" s="42"/>
      <c r="Y65" s="523"/>
      <c r="Z65" s="42"/>
      <c r="AA65" s="42">
        <f>SUM(AA66:AA66)</f>
        <v>0</v>
      </c>
      <c r="AB65" s="42"/>
      <c r="AC65" s="42"/>
      <c r="AD65" s="523"/>
      <c r="AE65" s="42"/>
      <c r="AF65" s="42">
        <f>SUM(AF66:AF66)</f>
        <v>41191</v>
      </c>
      <c r="AG65" s="42"/>
      <c r="AH65" s="42"/>
      <c r="AI65" s="523"/>
      <c r="AJ65" s="42"/>
      <c r="AK65" s="42">
        <f>SUM(AK66:AK66)</f>
        <v>18552</v>
      </c>
      <c r="AL65" s="42"/>
      <c r="AM65" s="42"/>
      <c r="AN65" s="523"/>
      <c r="AO65" s="42"/>
      <c r="AP65" s="42">
        <f>SUM(AP66:AP66)</f>
        <v>0</v>
      </c>
      <c r="AQ65" s="42"/>
      <c r="AR65" s="42"/>
      <c r="AS65" s="523"/>
      <c r="AT65" s="42"/>
      <c r="AU65" s="42">
        <f>SUM(AU66:AU66)</f>
        <v>0</v>
      </c>
      <c r="AV65" s="42"/>
      <c r="AW65" s="42"/>
      <c r="AX65" s="523"/>
      <c r="AY65" s="42"/>
      <c r="AZ65" s="42">
        <f>SUM(AZ66:AZ66)</f>
        <v>0</v>
      </c>
      <c r="BA65" s="42"/>
      <c r="BB65" s="42"/>
      <c r="BC65" s="523"/>
      <c r="BD65" s="42"/>
      <c r="BE65" s="42">
        <f>SUM(BE66:BE66)</f>
        <v>0</v>
      </c>
      <c r="BF65" s="42"/>
      <c r="BG65" s="42"/>
      <c r="BH65" s="523"/>
      <c r="BI65" s="42"/>
      <c r="BJ65" s="42">
        <f>SUM(BJ66:BJ66)</f>
        <v>0</v>
      </c>
      <c r="BK65" s="42"/>
      <c r="BL65" s="42"/>
      <c r="BM65" s="523"/>
      <c r="BN65" s="42"/>
      <c r="BO65" s="42">
        <f>SUM(BO66:BO66)</f>
        <v>0</v>
      </c>
      <c r="BP65" s="42"/>
      <c r="BQ65" s="42"/>
      <c r="BR65" s="523"/>
      <c r="BS65" s="42"/>
      <c r="BT65" s="42">
        <f>SUM(BT66:BT66)</f>
        <v>605250</v>
      </c>
      <c r="BU65" s="42"/>
      <c r="BV65" s="58"/>
      <c r="BW65" s="455"/>
    </row>
    <row r="66" spans="1:77" x14ac:dyDescent="0.2">
      <c r="A66" s="377"/>
      <c r="B66" s="377"/>
      <c r="D66" s="465" t="s">
        <v>378</v>
      </c>
      <c r="E66" s="417"/>
      <c r="F66" s="548"/>
      <c r="G66" s="493">
        <f>G69+G75+G78+G81+G84+G87+G90+G93+G96+G102+G105+G108+G111+G99+G117+G120+G72+G114</f>
        <v>0</v>
      </c>
      <c r="H66" s="549"/>
      <c r="I66" s="53"/>
      <c r="J66" s="518"/>
      <c r="K66" s="550"/>
      <c r="L66" s="493">
        <f>L69+L75+L78+L81+L84+L87+L90+L93+L96+L102+L105+L108+L111+L99+L117+L120+L72+L114</f>
        <v>487336</v>
      </c>
      <c r="M66" s="549"/>
      <c r="N66" s="53"/>
      <c r="O66" s="518"/>
      <c r="P66" s="550"/>
      <c r="Q66" s="493">
        <f>Q69+Q75+Q78+Q81+Q84+Q87+Q90+Q93+Q96+Q102+Q105+Q108+Q111+Q99+Q117+Q120+Q72+Q114</f>
        <v>29682</v>
      </c>
      <c r="R66" s="549"/>
      <c r="S66" s="53"/>
      <c r="T66" s="518"/>
      <c r="U66" s="550"/>
      <c r="V66" s="493">
        <f>V69+V75+V78+V81+V84+V87+V90+V93+V96+V102+V105+V108+V111+V99+V117+V120+V72+V114</f>
        <v>28489</v>
      </c>
      <c r="W66" s="549"/>
      <c r="X66" s="53"/>
      <c r="Y66" s="518"/>
      <c r="Z66" s="550"/>
      <c r="AA66" s="493">
        <v>0</v>
      </c>
      <c r="AB66" s="549"/>
      <c r="AC66" s="53"/>
      <c r="AD66" s="518"/>
      <c r="AE66" s="550"/>
      <c r="AF66" s="493">
        <f>AF69+AF75+AF78+AF81+AF84+AF87+AF90+AF93+AF96+AF102+AF105+AF108+AF111+AF99+AF117+AF120+AF72+AF114</f>
        <v>41191</v>
      </c>
      <c r="AG66" s="549"/>
      <c r="AH66" s="53"/>
      <c r="AI66" s="518"/>
      <c r="AJ66" s="550"/>
      <c r="AK66" s="493">
        <f>AK69+AK75+AK78+AK81+AK84+AK87+AK90+AK93+AK96+AK102+AK105+AK108+AK111+AK99+AK117+AK120+AK72+AK114</f>
        <v>18552</v>
      </c>
      <c r="AL66" s="549"/>
      <c r="AM66" s="53"/>
      <c r="AN66" s="518"/>
      <c r="AO66" s="550"/>
      <c r="AP66" s="493">
        <f>AP69+AP75+AP78+AP81+AP84+AP87+AP90+AP93+AP96+AP102+AP105+AP108+AP111+AP99+AP117+AP120+AP72+AP114</f>
        <v>0</v>
      </c>
      <c r="AQ66" s="549"/>
      <c r="AR66" s="53"/>
      <c r="AS66" s="518"/>
      <c r="AT66" s="550"/>
      <c r="AU66" s="493">
        <f>AU69+AU75+AU78+AU81+AU84+AU87+AU90+AU93+AU96+AU102+AU105+AU108+AU111+AU99+AU117+AU120+AU72+AU114</f>
        <v>0</v>
      </c>
      <c r="AV66" s="549"/>
      <c r="AW66" s="53"/>
      <c r="AX66" s="518"/>
      <c r="AY66" s="550"/>
      <c r="AZ66" s="493">
        <v>0</v>
      </c>
      <c r="BA66" s="549"/>
      <c r="BB66" s="53"/>
      <c r="BC66" s="518"/>
      <c r="BD66" s="550"/>
      <c r="BE66" s="493">
        <v>0</v>
      </c>
      <c r="BF66" s="549"/>
      <c r="BG66" s="53"/>
      <c r="BH66" s="518"/>
      <c r="BI66" s="550"/>
      <c r="BJ66" s="493">
        <v>0</v>
      </c>
      <c r="BK66" s="549"/>
      <c r="BL66" s="53"/>
      <c r="BM66" s="518"/>
      <c r="BN66" s="550"/>
      <c r="BO66" s="493">
        <f>BO69+BO75+BO78+BO81+BO84+BO87+BO90+BO93+BO96+BO102+BO105+BO108+BO111+BO99+BO117+BO120+BO72+BO114</f>
        <v>0</v>
      </c>
      <c r="BP66" s="549"/>
      <c r="BQ66" s="53"/>
      <c r="BR66" s="518"/>
      <c r="BS66" s="550"/>
      <c r="BT66" s="493">
        <f>BT69+BT75+BT78+BT81+BT84+BT87+BT90+BT93+BT96+BT102+BT105+BT108+BT111+BT99+BT117+BT120+BT72+BT114</f>
        <v>605250</v>
      </c>
      <c r="BU66" s="549"/>
      <c r="BV66" s="54"/>
      <c r="BW66" s="465"/>
      <c r="BX66" s="410"/>
      <c r="BY66" s="410"/>
    </row>
    <row r="67" spans="1:77" x14ac:dyDescent="0.2">
      <c r="A67" s="377"/>
      <c r="B67" s="377"/>
      <c r="D67" s="465"/>
      <c r="E67" s="417"/>
      <c r="F67" s="377"/>
      <c r="G67" s="53"/>
      <c r="H67" s="53"/>
      <c r="I67" s="53"/>
      <c r="J67" s="518"/>
      <c r="K67" s="53"/>
      <c r="L67" s="53"/>
      <c r="M67" s="53"/>
      <c r="N67" s="53"/>
      <c r="O67" s="518"/>
      <c r="P67" s="53"/>
      <c r="Q67" s="53"/>
      <c r="R67" s="53"/>
      <c r="S67" s="53"/>
      <c r="T67" s="518"/>
      <c r="U67" s="53"/>
      <c r="V67" s="53"/>
      <c r="W67" s="53"/>
      <c r="X67" s="53"/>
      <c r="Y67" s="518"/>
      <c r="Z67" s="53"/>
      <c r="AA67" s="53"/>
      <c r="AB67" s="53"/>
      <c r="AC67" s="53"/>
      <c r="AD67" s="518"/>
      <c r="AE67" s="53"/>
      <c r="AF67" s="53"/>
      <c r="AG67" s="53"/>
      <c r="AH67" s="53"/>
      <c r="AI67" s="518"/>
      <c r="AJ67" s="53"/>
      <c r="AK67" s="53"/>
      <c r="AL67" s="53"/>
      <c r="AM67" s="53"/>
      <c r="AN67" s="518"/>
      <c r="AO67" s="53"/>
      <c r="AP67" s="53"/>
      <c r="AQ67" s="53"/>
      <c r="AR67" s="53"/>
      <c r="AS67" s="518"/>
      <c r="AT67" s="53"/>
      <c r="AU67" s="53"/>
      <c r="AV67" s="53"/>
      <c r="AW67" s="53"/>
      <c r="AX67" s="518"/>
      <c r="AY67" s="53"/>
      <c r="AZ67" s="53"/>
      <c r="BA67" s="53"/>
      <c r="BB67" s="53"/>
      <c r="BC67" s="518"/>
      <c r="BD67" s="53"/>
      <c r="BE67" s="53"/>
      <c r="BF67" s="53"/>
      <c r="BG67" s="53"/>
      <c r="BH67" s="518"/>
      <c r="BI67" s="53"/>
      <c r="BJ67" s="53"/>
      <c r="BK67" s="53"/>
      <c r="BL67" s="53"/>
      <c r="BM67" s="518"/>
      <c r="BN67" s="53"/>
      <c r="BO67" s="53"/>
      <c r="BP67" s="53"/>
      <c r="BQ67" s="53"/>
      <c r="BR67" s="518"/>
      <c r="BS67" s="53"/>
      <c r="BT67" s="53"/>
      <c r="BU67" s="53"/>
      <c r="BV67" s="54"/>
      <c r="BW67" s="465"/>
      <c r="BX67" s="410"/>
      <c r="BY67" s="410"/>
    </row>
    <row r="68" spans="1:77" hidden="1" x14ac:dyDescent="0.2">
      <c r="A68" s="377"/>
      <c r="B68" s="377"/>
      <c r="D68" s="465" t="s">
        <v>404</v>
      </c>
      <c r="E68" s="417"/>
      <c r="F68" s="377"/>
      <c r="G68" s="53">
        <v>0</v>
      </c>
      <c r="H68" s="53"/>
      <c r="I68" s="53"/>
      <c r="J68" s="518"/>
      <c r="K68" s="53"/>
      <c r="L68" s="53">
        <f>SUM(L69:L69)</f>
        <v>0</v>
      </c>
      <c r="M68" s="53"/>
      <c r="N68" s="53"/>
      <c r="O68" s="518"/>
      <c r="P68" s="53"/>
      <c r="Q68" s="53">
        <f>SUM(Q69:Q69)</f>
        <v>0</v>
      </c>
      <c r="R68" s="53"/>
      <c r="S68" s="53"/>
      <c r="T68" s="518"/>
      <c r="U68" s="53"/>
      <c r="V68" s="53">
        <f>SUM(V69:V69)</f>
        <v>0</v>
      </c>
      <c r="W68" s="53"/>
      <c r="X68" s="53"/>
      <c r="Y68" s="518"/>
      <c r="Z68" s="53"/>
      <c r="AA68" s="53">
        <f>SUM(AA69:AA69)</f>
        <v>0</v>
      </c>
      <c r="AB68" s="53"/>
      <c r="AC68" s="53"/>
      <c r="AD68" s="518"/>
      <c r="AE68" s="53"/>
      <c r="AF68" s="53">
        <f>SUM(AF69:AF69)</f>
        <v>0</v>
      </c>
      <c r="AG68" s="53"/>
      <c r="AH68" s="53"/>
      <c r="AI68" s="518"/>
      <c r="AJ68" s="53"/>
      <c r="AK68" s="53">
        <f>SUM(AK69:AK69)</f>
        <v>0</v>
      </c>
      <c r="AL68" s="53"/>
      <c r="AM68" s="53"/>
      <c r="AN68" s="518"/>
      <c r="AO68" s="53"/>
      <c r="AP68" s="53">
        <f>SUM(AP69:AP69)</f>
        <v>0</v>
      </c>
      <c r="AQ68" s="53"/>
      <c r="AR68" s="53"/>
      <c r="AS68" s="518"/>
      <c r="AT68" s="53"/>
      <c r="AU68" s="53">
        <f>SUM(AU69:AU69)</f>
        <v>0</v>
      </c>
      <c r="AV68" s="53"/>
      <c r="AW68" s="53"/>
      <c r="AX68" s="518"/>
      <c r="AY68" s="53"/>
      <c r="AZ68" s="53">
        <f>SUM(AZ69:AZ69)</f>
        <v>0</v>
      </c>
      <c r="BA68" s="53"/>
      <c r="BB68" s="53"/>
      <c r="BC68" s="518"/>
      <c r="BD68" s="53"/>
      <c r="BE68" s="53">
        <f>SUM(BE69:BE69)</f>
        <v>0</v>
      </c>
      <c r="BF68" s="53"/>
      <c r="BG68" s="53"/>
      <c r="BH68" s="518"/>
      <c r="BI68" s="53"/>
      <c r="BJ68" s="53">
        <f>SUM(BJ69:BJ69)</f>
        <v>0</v>
      </c>
      <c r="BK68" s="53"/>
      <c r="BL68" s="53"/>
      <c r="BM68" s="518"/>
      <c r="BN68" s="53"/>
      <c r="BO68" s="53">
        <f>SUM(BO69:BO69)</f>
        <v>0</v>
      </c>
      <c r="BP68" s="53"/>
      <c r="BQ68" s="53"/>
      <c r="BR68" s="518"/>
      <c r="BS68" s="53"/>
      <c r="BT68" s="53">
        <f>SUM(BT69:BT69)</f>
        <v>0</v>
      </c>
      <c r="BU68" s="53"/>
      <c r="BV68" s="54"/>
      <c r="BW68" s="465"/>
      <c r="BX68" s="410"/>
      <c r="BY68" s="410"/>
    </row>
    <row r="69" spans="1:77" hidden="1" x14ac:dyDescent="0.2">
      <c r="A69" s="377"/>
      <c r="B69" s="377"/>
      <c r="D69" s="465" t="s">
        <v>378</v>
      </c>
      <c r="E69" s="417"/>
      <c r="F69" s="548"/>
      <c r="G69" s="493">
        <v>0</v>
      </c>
      <c r="H69" s="549"/>
      <c r="I69" s="53"/>
      <c r="J69" s="518"/>
      <c r="K69" s="550"/>
      <c r="L69" s="493">
        <v>0</v>
      </c>
      <c r="M69" s="549"/>
      <c r="N69" s="53"/>
      <c r="O69" s="518"/>
      <c r="P69" s="550"/>
      <c r="Q69" s="493">
        <v>0</v>
      </c>
      <c r="R69" s="549"/>
      <c r="S69" s="53"/>
      <c r="T69" s="518"/>
      <c r="U69" s="550"/>
      <c r="V69" s="493">
        <v>0</v>
      </c>
      <c r="W69" s="549"/>
      <c r="X69" s="53"/>
      <c r="Y69" s="518"/>
      <c r="Z69" s="550"/>
      <c r="AA69" s="493">
        <v>0</v>
      </c>
      <c r="AB69" s="549"/>
      <c r="AC69" s="53"/>
      <c r="AD69" s="518"/>
      <c r="AE69" s="550"/>
      <c r="AF69" s="493">
        <v>0</v>
      </c>
      <c r="AG69" s="549"/>
      <c r="AH69" s="53"/>
      <c r="AI69" s="518"/>
      <c r="AJ69" s="550"/>
      <c r="AK69" s="493">
        <v>0</v>
      </c>
      <c r="AL69" s="549"/>
      <c r="AM69" s="53"/>
      <c r="AN69" s="518"/>
      <c r="AO69" s="550"/>
      <c r="AP69" s="493">
        <v>0</v>
      </c>
      <c r="AQ69" s="549"/>
      <c r="AR69" s="53"/>
      <c r="AS69" s="518"/>
      <c r="AT69" s="550"/>
      <c r="AU69" s="493">
        <v>0</v>
      </c>
      <c r="AV69" s="549"/>
      <c r="AW69" s="53"/>
      <c r="AX69" s="518"/>
      <c r="AY69" s="550"/>
      <c r="AZ69" s="493">
        <v>0</v>
      </c>
      <c r="BA69" s="549"/>
      <c r="BB69" s="53"/>
      <c r="BC69" s="518"/>
      <c r="BD69" s="550"/>
      <c r="BE69" s="493">
        <v>0</v>
      </c>
      <c r="BF69" s="549"/>
      <c r="BG69" s="53"/>
      <c r="BH69" s="518"/>
      <c r="BI69" s="550"/>
      <c r="BJ69" s="493">
        <v>0</v>
      </c>
      <c r="BK69" s="549"/>
      <c r="BL69" s="53"/>
      <c r="BM69" s="518"/>
      <c r="BN69" s="550"/>
      <c r="BO69" s="493">
        <v>0</v>
      </c>
      <c r="BP69" s="549"/>
      <c r="BQ69" s="53"/>
      <c r="BR69" s="518"/>
      <c r="BS69" s="550"/>
      <c r="BT69" s="493">
        <f>SUM(L69:BO69)</f>
        <v>0</v>
      </c>
      <c r="BU69" s="549"/>
      <c r="BV69" s="54"/>
      <c r="BW69" s="465"/>
      <c r="BX69" s="410"/>
      <c r="BY69" s="410"/>
    </row>
    <row r="70" spans="1:77" hidden="1" x14ac:dyDescent="0.2">
      <c r="A70" s="377"/>
      <c r="B70" s="377"/>
      <c r="D70" s="465"/>
      <c r="E70" s="417"/>
      <c r="F70" s="377"/>
      <c r="G70" s="551"/>
      <c r="H70" s="551"/>
      <c r="I70" s="551"/>
      <c r="J70" s="552"/>
      <c r="K70" s="551"/>
      <c r="L70" s="551"/>
      <c r="M70" s="551"/>
      <c r="N70" s="551"/>
      <c r="O70" s="552"/>
      <c r="P70" s="551"/>
      <c r="Q70" s="551"/>
      <c r="R70" s="551"/>
      <c r="S70" s="551"/>
      <c r="T70" s="552"/>
      <c r="U70" s="551"/>
      <c r="V70" s="551"/>
      <c r="W70" s="551"/>
      <c r="X70" s="551"/>
      <c r="Y70" s="552"/>
      <c r="Z70" s="551"/>
      <c r="AA70" s="551"/>
      <c r="AB70" s="551"/>
      <c r="AC70" s="551"/>
      <c r="AD70" s="552"/>
      <c r="AE70" s="551"/>
      <c r="AF70" s="551"/>
      <c r="AG70" s="551"/>
      <c r="AH70" s="551"/>
      <c r="AI70" s="552"/>
      <c r="AJ70" s="551"/>
      <c r="AK70" s="551"/>
      <c r="AL70" s="551"/>
      <c r="AM70" s="551"/>
      <c r="AN70" s="552"/>
      <c r="AO70" s="551"/>
      <c r="AP70" s="551"/>
      <c r="AQ70" s="551"/>
      <c r="AR70" s="551"/>
      <c r="AS70" s="552"/>
      <c r="AT70" s="551"/>
      <c r="AU70" s="551"/>
      <c r="AV70" s="551"/>
      <c r="AW70" s="551"/>
      <c r="AX70" s="552"/>
      <c r="AY70" s="551"/>
      <c r="AZ70" s="551"/>
      <c r="BA70" s="551"/>
      <c r="BB70" s="551"/>
      <c r="BC70" s="552"/>
      <c r="BD70" s="551"/>
      <c r="BE70" s="551"/>
      <c r="BF70" s="551"/>
      <c r="BG70" s="551"/>
      <c r="BH70" s="552"/>
      <c r="BI70" s="551"/>
      <c r="BJ70" s="551"/>
      <c r="BK70" s="551"/>
      <c r="BL70" s="551"/>
      <c r="BM70" s="552"/>
      <c r="BN70" s="551"/>
      <c r="BO70" s="551"/>
      <c r="BP70" s="551"/>
      <c r="BQ70" s="551"/>
      <c r="BR70" s="552"/>
      <c r="BS70" s="551"/>
      <c r="BT70" s="53"/>
      <c r="BU70" s="53"/>
      <c r="BV70" s="54"/>
      <c r="BW70" s="465"/>
      <c r="BX70" s="410"/>
      <c r="BY70" s="410"/>
    </row>
    <row r="71" spans="1:77" x14ac:dyDescent="0.2">
      <c r="A71" s="377"/>
      <c r="B71" s="377"/>
      <c r="D71" s="465" t="s">
        <v>405</v>
      </c>
      <c r="E71" s="417"/>
      <c r="F71" s="377"/>
      <c r="G71" s="53">
        <v>0</v>
      </c>
      <c r="H71" s="53"/>
      <c r="I71" s="53"/>
      <c r="J71" s="518"/>
      <c r="K71" s="53"/>
      <c r="L71" s="53">
        <f>SUM(L72:L72)</f>
        <v>487336</v>
      </c>
      <c r="M71" s="53"/>
      <c r="N71" s="53"/>
      <c r="O71" s="518"/>
      <c r="P71" s="53"/>
      <c r="Q71" s="53">
        <f>SUM(Q72:Q72)</f>
        <v>0</v>
      </c>
      <c r="R71" s="53"/>
      <c r="S71" s="53"/>
      <c r="T71" s="518"/>
      <c r="U71" s="53"/>
      <c r="V71" s="53">
        <f>SUM(V72:V72)</f>
        <v>0</v>
      </c>
      <c r="W71" s="53"/>
      <c r="X71" s="53"/>
      <c r="Y71" s="518"/>
      <c r="Z71" s="53"/>
      <c r="AA71" s="53">
        <f>SUM(AA72:AA72)</f>
        <v>0</v>
      </c>
      <c r="AB71" s="53"/>
      <c r="AC71" s="53"/>
      <c r="AD71" s="518"/>
      <c r="AE71" s="53"/>
      <c r="AF71" s="53">
        <f>SUM(AF72:AF72)</f>
        <v>0</v>
      </c>
      <c r="AG71" s="53"/>
      <c r="AH71" s="53"/>
      <c r="AI71" s="518"/>
      <c r="AJ71" s="53"/>
      <c r="AK71" s="53">
        <f>SUM(AK72:AK72)</f>
        <v>0</v>
      </c>
      <c r="AL71" s="53"/>
      <c r="AM71" s="53"/>
      <c r="AN71" s="518"/>
      <c r="AO71" s="53"/>
      <c r="AP71" s="53">
        <f>SUM(AP72:AP72)</f>
        <v>0</v>
      </c>
      <c r="AQ71" s="53"/>
      <c r="AR71" s="53"/>
      <c r="AS71" s="518"/>
      <c r="AT71" s="53"/>
      <c r="AU71" s="53">
        <f>SUM(AU72:AU72)</f>
        <v>0</v>
      </c>
      <c r="AV71" s="53"/>
      <c r="AW71" s="53"/>
      <c r="AX71" s="518"/>
      <c r="AY71" s="53"/>
      <c r="AZ71" s="53">
        <f>SUM(AZ72:AZ72)</f>
        <v>0</v>
      </c>
      <c r="BA71" s="53"/>
      <c r="BB71" s="53"/>
      <c r="BC71" s="518"/>
      <c r="BD71" s="53"/>
      <c r="BE71" s="53">
        <f>SUM(BE72:BE72)</f>
        <v>0</v>
      </c>
      <c r="BF71" s="53"/>
      <c r="BG71" s="53"/>
      <c r="BH71" s="518"/>
      <c r="BI71" s="53"/>
      <c r="BJ71" s="53">
        <f>SUM(BJ72:BJ72)</f>
        <v>0</v>
      </c>
      <c r="BK71" s="53"/>
      <c r="BL71" s="53"/>
      <c r="BM71" s="518"/>
      <c r="BN71" s="53"/>
      <c r="BO71" s="53">
        <f>SUM(BO72:BO72)</f>
        <v>0</v>
      </c>
      <c r="BP71" s="53"/>
      <c r="BQ71" s="53"/>
      <c r="BR71" s="518"/>
      <c r="BS71" s="53"/>
      <c r="BT71" s="53">
        <f>SUM(BT72:BT72)</f>
        <v>487336</v>
      </c>
      <c r="BU71" s="53"/>
      <c r="BV71" s="54"/>
      <c r="BW71" s="465"/>
      <c r="BX71" s="410"/>
      <c r="BY71" s="410"/>
    </row>
    <row r="72" spans="1:77" x14ac:dyDescent="0.2">
      <c r="A72" s="377"/>
      <c r="B72" s="377"/>
      <c r="D72" s="465" t="s">
        <v>378</v>
      </c>
      <c r="E72" s="417"/>
      <c r="F72" s="548"/>
      <c r="G72" s="493">
        <v>0</v>
      </c>
      <c r="H72" s="549"/>
      <c r="I72" s="53"/>
      <c r="J72" s="518"/>
      <c r="K72" s="550"/>
      <c r="L72" s="493">
        <v>487336</v>
      </c>
      <c r="M72" s="549"/>
      <c r="N72" s="53"/>
      <c r="O72" s="518"/>
      <c r="P72" s="550"/>
      <c r="Q72" s="493">
        <v>0</v>
      </c>
      <c r="R72" s="549"/>
      <c r="S72" s="53"/>
      <c r="T72" s="518"/>
      <c r="U72" s="550"/>
      <c r="V72" s="493">
        <v>0</v>
      </c>
      <c r="W72" s="549"/>
      <c r="X72" s="53"/>
      <c r="Y72" s="518"/>
      <c r="Z72" s="550"/>
      <c r="AA72" s="493">
        <v>0</v>
      </c>
      <c r="AB72" s="549"/>
      <c r="AC72" s="53"/>
      <c r="AD72" s="518"/>
      <c r="AE72" s="550"/>
      <c r="AF72" s="493">
        <v>0</v>
      </c>
      <c r="AG72" s="549"/>
      <c r="AH72" s="53"/>
      <c r="AI72" s="518"/>
      <c r="AJ72" s="550"/>
      <c r="AK72" s="493">
        <v>0</v>
      </c>
      <c r="AL72" s="549"/>
      <c r="AM72" s="53"/>
      <c r="AN72" s="518"/>
      <c r="AO72" s="550"/>
      <c r="AP72" s="493">
        <v>0</v>
      </c>
      <c r="AQ72" s="549"/>
      <c r="AR72" s="53"/>
      <c r="AS72" s="518"/>
      <c r="AT72" s="550"/>
      <c r="AU72" s="493">
        <v>0</v>
      </c>
      <c r="AV72" s="549"/>
      <c r="AW72" s="53"/>
      <c r="AX72" s="518"/>
      <c r="AY72" s="550"/>
      <c r="AZ72" s="493">
        <v>0</v>
      </c>
      <c r="BA72" s="549"/>
      <c r="BB72" s="53"/>
      <c r="BC72" s="518"/>
      <c r="BD72" s="550"/>
      <c r="BE72" s="493">
        <v>0</v>
      </c>
      <c r="BF72" s="549"/>
      <c r="BG72" s="53"/>
      <c r="BH72" s="518"/>
      <c r="BI72" s="550"/>
      <c r="BJ72" s="493">
        <v>0</v>
      </c>
      <c r="BK72" s="549"/>
      <c r="BL72" s="53"/>
      <c r="BM72" s="518"/>
      <c r="BN72" s="550"/>
      <c r="BO72" s="493">
        <v>0</v>
      </c>
      <c r="BP72" s="549"/>
      <c r="BQ72" s="53"/>
      <c r="BR72" s="518"/>
      <c r="BS72" s="550"/>
      <c r="BT72" s="493">
        <f>SUM(L72:BO72)</f>
        <v>487336</v>
      </c>
      <c r="BU72" s="549"/>
      <c r="BV72" s="54"/>
      <c r="BW72" s="465"/>
      <c r="BX72" s="410"/>
      <c r="BY72" s="410"/>
    </row>
    <row r="73" spans="1:77" hidden="1" x14ac:dyDescent="0.2">
      <c r="A73" s="377"/>
      <c r="B73" s="377"/>
      <c r="D73" s="465"/>
      <c r="E73" s="417"/>
      <c r="F73" s="377"/>
      <c r="G73" s="551"/>
      <c r="H73" s="551"/>
      <c r="I73" s="551"/>
      <c r="J73" s="552"/>
      <c r="K73" s="551"/>
      <c r="L73" s="551"/>
      <c r="M73" s="551"/>
      <c r="N73" s="551"/>
      <c r="O73" s="552"/>
      <c r="P73" s="551"/>
      <c r="Q73" s="551"/>
      <c r="R73" s="551"/>
      <c r="S73" s="551"/>
      <c r="T73" s="552"/>
      <c r="U73" s="551"/>
      <c r="V73" s="551"/>
      <c r="W73" s="551"/>
      <c r="X73" s="551"/>
      <c r="Y73" s="552"/>
      <c r="Z73" s="551"/>
      <c r="AA73" s="551"/>
      <c r="AB73" s="551"/>
      <c r="AC73" s="551"/>
      <c r="AD73" s="552"/>
      <c r="AE73" s="551"/>
      <c r="AF73" s="551"/>
      <c r="AG73" s="551"/>
      <c r="AH73" s="551"/>
      <c r="AI73" s="552"/>
      <c r="AJ73" s="551"/>
      <c r="AK73" s="551"/>
      <c r="AL73" s="551"/>
      <c r="AM73" s="551"/>
      <c r="AN73" s="552"/>
      <c r="AO73" s="551"/>
      <c r="AP73" s="551"/>
      <c r="AQ73" s="551"/>
      <c r="AR73" s="551"/>
      <c r="AS73" s="552"/>
      <c r="AT73" s="551"/>
      <c r="AU73" s="551"/>
      <c r="AV73" s="551"/>
      <c r="AW73" s="551"/>
      <c r="AX73" s="552"/>
      <c r="AY73" s="551"/>
      <c r="AZ73" s="551"/>
      <c r="BA73" s="551"/>
      <c r="BB73" s="551"/>
      <c r="BC73" s="552"/>
      <c r="BD73" s="551"/>
      <c r="BE73" s="551"/>
      <c r="BF73" s="551"/>
      <c r="BG73" s="551"/>
      <c r="BH73" s="552"/>
      <c r="BI73" s="551"/>
      <c r="BJ73" s="551"/>
      <c r="BK73" s="551"/>
      <c r="BL73" s="551"/>
      <c r="BM73" s="552"/>
      <c r="BN73" s="551"/>
      <c r="BO73" s="551"/>
      <c r="BP73" s="551"/>
      <c r="BQ73" s="551"/>
      <c r="BR73" s="552"/>
      <c r="BS73" s="551"/>
      <c r="BT73" s="53"/>
      <c r="BU73" s="53"/>
      <c r="BV73" s="54"/>
      <c r="BW73" s="465"/>
      <c r="BX73" s="410"/>
      <c r="BY73" s="410"/>
    </row>
    <row r="74" spans="1:77" hidden="1" x14ac:dyDescent="0.2">
      <c r="A74" s="377"/>
      <c r="B74" s="377"/>
      <c r="D74" s="465" t="str">
        <f>[18]domlongtermissues!D294</f>
        <v xml:space="preserve">  R2044 (8.75%  2044-45-46/01/31)</v>
      </c>
      <c r="E74" s="417"/>
      <c r="F74" s="377"/>
      <c r="G74" s="53">
        <f>SUM(G75:G75)</f>
        <v>0</v>
      </c>
      <c r="H74" s="53"/>
      <c r="I74" s="53"/>
      <c r="J74" s="518"/>
      <c r="K74" s="53"/>
      <c r="L74" s="53">
        <f>SUM(L75:L75)</f>
        <v>0</v>
      </c>
      <c r="M74" s="53"/>
      <c r="N74" s="53"/>
      <c r="O74" s="518"/>
      <c r="P74" s="53"/>
      <c r="Q74" s="53">
        <f>SUM(Q75:Q75)</f>
        <v>0</v>
      </c>
      <c r="R74" s="53"/>
      <c r="S74" s="53"/>
      <c r="T74" s="518"/>
      <c r="U74" s="53"/>
      <c r="V74" s="53">
        <f>SUM(V75:V75)</f>
        <v>0</v>
      </c>
      <c r="W74" s="53"/>
      <c r="X74" s="53"/>
      <c r="Y74" s="518"/>
      <c r="Z74" s="53"/>
      <c r="AA74" s="53">
        <f>SUM(AA75:AA75)</f>
        <v>0</v>
      </c>
      <c r="AB74" s="53"/>
      <c r="AC74" s="53"/>
      <c r="AD74" s="518"/>
      <c r="AE74" s="53"/>
      <c r="AF74" s="53">
        <f>SUM(AF75:AF75)</f>
        <v>0</v>
      </c>
      <c r="AG74" s="53"/>
      <c r="AH74" s="53"/>
      <c r="AI74" s="518"/>
      <c r="AJ74" s="53"/>
      <c r="AK74" s="53">
        <f>SUM(AK75:AK75)</f>
        <v>0</v>
      </c>
      <c r="AL74" s="53"/>
      <c r="AM74" s="53"/>
      <c r="AN74" s="518"/>
      <c r="AO74" s="53"/>
      <c r="AP74" s="53">
        <f>SUM(AP75:AP75)</f>
        <v>0</v>
      </c>
      <c r="AQ74" s="53"/>
      <c r="AR74" s="53"/>
      <c r="AS74" s="518"/>
      <c r="AT74" s="53"/>
      <c r="AU74" s="53">
        <f>SUM(AU75:AU75)</f>
        <v>0</v>
      </c>
      <c r="AV74" s="53"/>
      <c r="AW74" s="53"/>
      <c r="AX74" s="518"/>
      <c r="AY74" s="53"/>
      <c r="AZ74" s="53">
        <f>SUM(AZ75:AZ75)</f>
        <v>0</v>
      </c>
      <c r="BA74" s="53"/>
      <c r="BB74" s="53"/>
      <c r="BC74" s="518"/>
      <c r="BD74" s="53"/>
      <c r="BE74" s="53">
        <f>SUM(BE75:BE75)</f>
        <v>0</v>
      </c>
      <c r="BF74" s="53"/>
      <c r="BG74" s="53"/>
      <c r="BH74" s="518"/>
      <c r="BI74" s="53"/>
      <c r="BJ74" s="53">
        <f>SUM(BJ75:BJ75)</f>
        <v>0</v>
      </c>
      <c r="BK74" s="53"/>
      <c r="BL74" s="53"/>
      <c r="BM74" s="518"/>
      <c r="BN74" s="53"/>
      <c r="BO74" s="53">
        <f>SUM(BO75:BO75)</f>
        <v>0</v>
      </c>
      <c r="BP74" s="53"/>
      <c r="BQ74" s="53"/>
      <c r="BR74" s="518"/>
      <c r="BS74" s="53"/>
      <c r="BT74" s="53">
        <f>SUM(BT75:BT75)</f>
        <v>0</v>
      </c>
      <c r="BU74" s="53"/>
      <c r="BV74" s="54"/>
      <c r="BW74" s="465"/>
      <c r="BX74" s="410"/>
      <c r="BY74" s="410"/>
    </row>
    <row r="75" spans="1:77" hidden="1" x14ac:dyDescent="0.2">
      <c r="A75" s="377"/>
      <c r="B75" s="377"/>
      <c r="D75" s="465" t="s">
        <v>378</v>
      </c>
      <c r="E75" s="417"/>
      <c r="F75" s="548"/>
      <c r="G75" s="493">
        <v>0</v>
      </c>
      <c r="H75" s="549"/>
      <c r="I75" s="53"/>
      <c r="J75" s="518"/>
      <c r="K75" s="550"/>
      <c r="L75" s="493">
        <v>0</v>
      </c>
      <c r="M75" s="549"/>
      <c r="N75" s="53"/>
      <c r="O75" s="518"/>
      <c r="P75" s="550"/>
      <c r="Q75" s="493">
        <v>0</v>
      </c>
      <c r="R75" s="549"/>
      <c r="S75" s="53"/>
      <c r="T75" s="518"/>
      <c r="U75" s="550"/>
      <c r="V75" s="493">
        <v>0</v>
      </c>
      <c r="W75" s="549"/>
      <c r="X75" s="53"/>
      <c r="Y75" s="518"/>
      <c r="Z75" s="550"/>
      <c r="AA75" s="493">
        <v>0</v>
      </c>
      <c r="AB75" s="549"/>
      <c r="AC75" s="53"/>
      <c r="AD75" s="518"/>
      <c r="AE75" s="550"/>
      <c r="AF75" s="493">
        <v>0</v>
      </c>
      <c r="AG75" s="549"/>
      <c r="AH75" s="53"/>
      <c r="AI75" s="518"/>
      <c r="AJ75" s="550"/>
      <c r="AK75" s="493">
        <v>0</v>
      </c>
      <c r="AL75" s="549"/>
      <c r="AM75" s="53"/>
      <c r="AN75" s="518"/>
      <c r="AO75" s="550"/>
      <c r="AP75" s="493">
        <v>0</v>
      </c>
      <c r="AQ75" s="549"/>
      <c r="AR75" s="53"/>
      <c r="AS75" s="518"/>
      <c r="AT75" s="550"/>
      <c r="AU75" s="493">
        <v>0</v>
      </c>
      <c r="AV75" s="549"/>
      <c r="AW75" s="53"/>
      <c r="AX75" s="518"/>
      <c r="AY75" s="550"/>
      <c r="AZ75" s="493">
        <v>0</v>
      </c>
      <c r="BA75" s="549"/>
      <c r="BB75" s="53"/>
      <c r="BC75" s="518"/>
      <c r="BD75" s="550"/>
      <c r="BE75" s="493">
        <v>0</v>
      </c>
      <c r="BF75" s="549"/>
      <c r="BG75" s="53"/>
      <c r="BH75" s="518"/>
      <c r="BI75" s="550"/>
      <c r="BJ75" s="493">
        <v>0</v>
      </c>
      <c r="BK75" s="549"/>
      <c r="BL75" s="53"/>
      <c r="BM75" s="518"/>
      <c r="BN75" s="550"/>
      <c r="BO75" s="493">
        <v>0</v>
      </c>
      <c r="BP75" s="549"/>
      <c r="BQ75" s="53"/>
      <c r="BR75" s="518"/>
      <c r="BS75" s="550"/>
      <c r="BT75" s="493">
        <f>SUM(L75:BO75)</f>
        <v>0</v>
      </c>
      <c r="BU75" s="549"/>
      <c r="BV75" s="54"/>
      <c r="BW75" s="465"/>
      <c r="BX75" s="410"/>
      <c r="BY75" s="410"/>
    </row>
    <row r="76" spans="1:77" x14ac:dyDescent="0.2">
      <c r="A76" s="377"/>
      <c r="B76" s="377"/>
      <c r="D76" s="465"/>
      <c r="E76" s="417"/>
      <c r="F76" s="377"/>
      <c r="G76" s="551"/>
      <c r="H76" s="551"/>
      <c r="I76" s="551"/>
      <c r="J76" s="552"/>
      <c r="K76" s="551"/>
      <c r="L76" s="551"/>
      <c r="M76" s="551"/>
      <c r="N76" s="551"/>
      <c r="O76" s="552"/>
      <c r="P76" s="551"/>
      <c r="Q76" s="551"/>
      <c r="R76" s="551"/>
      <c r="S76" s="551"/>
      <c r="T76" s="552"/>
      <c r="U76" s="551"/>
      <c r="V76" s="551"/>
      <c r="W76" s="551"/>
      <c r="X76" s="551"/>
      <c r="Y76" s="552"/>
      <c r="Z76" s="551"/>
      <c r="AA76" s="551"/>
      <c r="AB76" s="551"/>
      <c r="AC76" s="551"/>
      <c r="AD76" s="552"/>
      <c r="AE76" s="551"/>
      <c r="AF76" s="551"/>
      <c r="AG76" s="551"/>
      <c r="AH76" s="551"/>
      <c r="AI76" s="552"/>
      <c r="AJ76" s="551"/>
      <c r="AK76" s="551"/>
      <c r="AL76" s="551"/>
      <c r="AM76" s="551"/>
      <c r="AN76" s="552"/>
      <c r="AO76" s="551"/>
      <c r="AP76" s="551"/>
      <c r="AQ76" s="551"/>
      <c r="AR76" s="551"/>
      <c r="AS76" s="552"/>
      <c r="AT76" s="551"/>
      <c r="AU76" s="551"/>
      <c r="AV76" s="551"/>
      <c r="AW76" s="551"/>
      <c r="AX76" s="552"/>
      <c r="AY76" s="551"/>
      <c r="AZ76" s="551"/>
      <c r="BA76" s="551"/>
      <c r="BB76" s="551"/>
      <c r="BC76" s="552"/>
      <c r="BD76" s="551"/>
      <c r="BE76" s="551"/>
      <c r="BF76" s="551"/>
      <c r="BG76" s="551"/>
      <c r="BH76" s="552"/>
      <c r="BI76" s="551"/>
      <c r="BJ76" s="551"/>
      <c r="BK76" s="551"/>
      <c r="BL76" s="551"/>
      <c r="BM76" s="552"/>
      <c r="BN76" s="551"/>
      <c r="BO76" s="551"/>
      <c r="BP76" s="551"/>
      <c r="BQ76" s="551"/>
      <c r="BR76" s="552"/>
      <c r="BS76" s="551"/>
      <c r="BT76" s="53"/>
      <c r="BU76" s="53"/>
      <c r="BV76" s="54"/>
      <c r="BW76" s="465"/>
      <c r="BX76" s="410"/>
      <c r="BY76" s="410"/>
    </row>
    <row r="77" spans="1:77" x14ac:dyDescent="0.2">
      <c r="A77" s="377"/>
      <c r="B77" s="377"/>
      <c r="D77" s="465" t="s">
        <v>389</v>
      </c>
      <c r="E77" s="417"/>
      <c r="F77" s="377"/>
      <c r="G77" s="53">
        <f>SUM(G78:G78)</f>
        <v>0</v>
      </c>
      <c r="H77" s="53"/>
      <c r="I77" s="53"/>
      <c r="J77" s="518"/>
      <c r="K77" s="53"/>
      <c r="L77" s="53">
        <f>SUM(L78:L78)</f>
        <v>0</v>
      </c>
      <c r="M77" s="53"/>
      <c r="N77" s="53"/>
      <c r="O77" s="518"/>
      <c r="P77" s="53"/>
      <c r="Q77" s="53">
        <f>SUM(Q78:Q78)</f>
        <v>29682</v>
      </c>
      <c r="R77" s="53"/>
      <c r="S77" s="53"/>
      <c r="T77" s="518"/>
      <c r="U77" s="53"/>
      <c r="V77" s="53">
        <f>SUM(V78:V78)</f>
        <v>28489</v>
      </c>
      <c r="W77" s="53"/>
      <c r="X77" s="53"/>
      <c r="Y77" s="518"/>
      <c r="Z77" s="53"/>
      <c r="AA77" s="53">
        <f>SUM(AA78:AA78)</f>
        <v>0</v>
      </c>
      <c r="AB77" s="53"/>
      <c r="AC77" s="53"/>
      <c r="AD77" s="518"/>
      <c r="AE77" s="53"/>
      <c r="AF77" s="53">
        <f>SUM(AF78:AF78)</f>
        <v>0</v>
      </c>
      <c r="AG77" s="53"/>
      <c r="AH77" s="53"/>
      <c r="AI77" s="518"/>
      <c r="AJ77" s="53"/>
      <c r="AK77" s="53">
        <f>SUM(AK78:AK78)</f>
        <v>0</v>
      </c>
      <c r="AL77" s="53"/>
      <c r="AM77" s="53"/>
      <c r="AN77" s="518"/>
      <c r="AO77" s="53"/>
      <c r="AP77" s="53">
        <f>SUM(AP78:AP78)</f>
        <v>0</v>
      </c>
      <c r="AQ77" s="53"/>
      <c r="AR77" s="53"/>
      <c r="AS77" s="518"/>
      <c r="AT77" s="53"/>
      <c r="AU77" s="53">
        <f>SUM(AU78:AU78)</f>
        <v>0</v>
      </c>
      <c r="AV77" s="53"/>
      <c r="AW77" s="53"/>
      <c r="AX77" s="518"/>
      <c r="AY77" s="53"/>
      <c r="AZ77" s="53">
        <f>SUM(AZ78:AZ78)</f>
        <v>0</v>
      </c>
      <c r="BA77" s="53"/>
      <c r="BB77" s="53"/>
      <c r="BC77" s="518"/>
      <c r="BD77" s="53"/>
      <c r="BE77" s="53">
        <f>SUM(BE78:BE78)</f>
        <v>0</v>
      </c>
      <c r="BF77" s="53"/>
      <c r="BG77" s="53"/>
      <c r="BH77" s="518"/>
      <c r="BI77" s="53"/>
      <c r="BJ77" s="53">
        <f>SUM(BJ78:BJ78)</f>
        <v>0</v>
      </c>
      <c r="BK77" s="53"/>
      <c r="BL77" s="53"/>
      <c r="BM77" s="518"/>
      <c r="BN77" s="53"/>
      <c r="BO77" s="53">
        <f>SUM(BO78:BO78)</f>
        <v>0</v>
      </c>
      <c r="BP77" s="53"/>
      <c r="BQ77" s="53"/>
      <c r="BR77" s="518"/>
      <c r="BS77" s="53"/>
      <c r="BT77" s="53">
        <f>SUM(BT78:BT78)</f>
        <v>58171</v>
      </c>
      <c r="BU77" s="53"/>
      <c r="BV77" s="54"/>
      <c r="BW77" s="465"/>
      <c r="BX77" s="410"/>
      <c r="BY77" s="410"/>
    </row>
    <row r="78" spans="1:77" x14ac:dyDescent="0.2">
      <c r="A78" s="377"/>
      <c r="B78" s="377"/>
      <c r="D78" s="465" t="s">
        <v>378</v>
      </c>
      <c r="E78" s="417"/>
      <c r="F78" s="548"/>
      <c r="G78" s="493">
        <v>0</v>
      </c>
      <c r="H78" s="549"/>
      <c r="I78" s="53"/>
      <c r="J78" s="518"/>
      <c r="K78" s="550"/>
      <c r="L78" s="493">
        <v>0</v>
      </c>
      <c r="M78" s="549"/>
      <c r="N78" s="53"/>
      <c r="O78" s="518"/>
      <c r="P78" s="550"/>
      <c r="Q78" s="493">
        <v>29682</v>
      </c>
      <c r="R78" s="549"/>
      <c r="S78" s="53"/>
      <c r="T78" s="518"/>
      <c r="U78" s="550"/>
      <c r="V78" s="493">
        <v>28489</v>
      </c>
      <c r="W78" s="549"/>
      <c r="X78" s="53"/>
      <c r="Y78" s="518"/>
      <c r="Z78" s="550"/>
      <c r="AA78" s="493">
        <v>0</v>
      </c>
      <c r="AB78" s="549"/>
      <c r="AC78" s="53"/>
      <c r="AD78" s="518"/>
      <c r="AE78" s="550"/>
      <c r="AF78" s="493">
        <v>0</v>
      </c>
      <c r="AG78" s="549"/>
      <c r="AH78" s="53"/>
      <c r="AI78" s="518"/>
      <c r="AJ78" s="550"/>
      <c r="AK78" s="493">
        <v>0</v>
      </c>
      <c r="AL78" s="549"/>
      <c r="AM78" s="53"/>
      <c r="AN78" s="518"/>
      <c r="AO78" s="550"/>
      <c r="AP78" s="493">
        <v>0</v>
      </c>
      <c r="AQ78" s="549"/>
      <c r="AR78" s="53"/>
      <c r="AS78" s="518"/>
      <c r="AT78" s="550"/>
      <c r="AU78" s="493">
        <v>0</v>
      </c>
      <c r="AV78" s="549"/>
      <c r="AW78" s="53"/>
      <c r="AX78" s="518"/>
      <c r="AY78" s="550"/>
      <c r="AZ78" s="493">
        <v>0</v>
      </c>
      <c r="BA78" s="549"/>
      <c r="BB78" s="53"/>
      <c r="BC78" s="518"/>
      <c r="BD78" s="550"/>
      <c r="BE78" s="493">
        <v>0</v>
      </c>
      <c r="BF78" s="549"/>
      <c r="BG78" s="53"/>
      <c r="BH78" s="518"/>
      <c r="BI78" s="550"/>
      <c r="BJ78" s="493">
        <v>0</v>
      </c>
      <c r="BK78" s="549"/>
      <c r="BL78" s="53"/>
      <c r="BM78" s="518"/>
      <c r="BN78" s="550"/>
      <c r="BO78" s="493">
        <v>0</v>
      </c>
      <c r="BP78" s="549"/>
      <c r="BQ78" s="53"/>
      <c r="BR78" s="518"/>
      <c r="BS78" s="550"/>
      <c r="BT78" s="493">
        <f>SUM(L78:BO78)</f>
        <v>58171</v>
      </c>
      <c r="BU78" s="549"/>
      <c r="BV78" s="54"/>
      <c r="BW78" s="465"/>
      <c r="BX78" s="410"/>
      <c r="BY78" s="410"/>
    </row>
    <row r="79" spans="1:77" ht="12.75" hidden="1" customHeight="1" x14ac:dyDescent="0.2">
      <c r="A79" s="377"/>
      <c r="B79" s="377"/>
      <c r="D79" s="465"/>
      <c r="E79" s="417"/>
      <c r="F79" s="377"/>
      <c r="G79" s="53"/>
      <c r="H79" s="53"/>
      <c r="I79" s="53"/>
      <c r="J79" s="518"/>
      <c r="K79" s="53"/>
      <c r="L79" s="53"/>
      <c r="M79" s="53"/>
      <c r="N79" s="53"/>
      <c r="O79" s="518"/>
      <c r="P79" s="53"/>
      <c r="Q79" s="53"/>
      <c r="R79" s="53"/>
      <c r="S79" s="53"/>
      <c r="T79" s="518"/>
      <c r="U79" s="53"/>
      <c r="V79" s="53"/>
      <c r="W79" s="53"/>
      <c r="X79" s="53"/>
      <c r="Y79" s="518"/>
      <c r="Z79" s="53"/>
      <c r="AA79" s="53"/>
      <c r="AB79" s="53"/>
      <c r="AC79" s="53"/>
      <c r="AD79" s="518"/>
      <c r="AE79" s="53"/>
      <c r="AF79" s="53"/>
      <c r="AG79" s="53"/>
      <c r="AH79" s="53"/>
      <c r="AI79" s="518"/>
      <c r="AJ79" s="53"/>
      <c r="AK79" s="53"/>
      <c r="AL79" s="53"/>
      <c r="AM79" s="53"/>
      <c r="AN79" s="518"/>
      <c r="AO79" s="53"/>
      <c r="AP79" s="53"/>
      <c r="AQ79" s="53"/>
      <c r="AR79" s="53"/>
      <c r="AS79" s="518"/>
      <c r="AT79" s="53"/>
      <c r="AU79" s="53"/>
      <c r="AV79" s="53"/>
      <c r="AW79" s="53"/>
      <c r="AX79" s="518"/>
      <c r="AY79" s="53"/>
      <c r="AZ79" s="53"/>
      <c r="BA79" s="53"/>
      <c r="BB79" s="53"/>
      <c r="BC79" s="518"/>
      <c r="BD79" s="53"/>
      <c r="BE79" s="53"/>
      <c r="BF79" s="53"/>
      <c r="BG79" s="53"/>
      <c r="BH79" s="518"/>
      <c r="BI79" s="53"/>
      <c r="BJ79" s="53"/>
      <c r="BK79" s="53"/>
      <c r="BL79" s="53"/>
      <c r="BM79" s="518"/>
      <c r="BN79" s="53"/>
      <c r="BO79" s="53"/>
      <c r="BP79" s="53"/>
      <c r="BQ79" s="53"/>
      <c r="BR79" s="518"/>
      <c r="BS79" s="53"/>
      <c r="BT79" s="53"/>
      <c r="BU79" s="53"/>
      <c r="BV79" s="54"/>
      <c r="BW79" s="465"/>
      <c r="BX79" s="410"/>
      <c r="BY79" s="410"/>
    </row>
    <row r="80" spans="1:77" ht="12.75" hidden="1" customHeight="1" x14ac:dyDescent="0.2">
      <c r="A80" s="377"/>
      <c r="B80" s="377"/>
      <c r="D80" s="465" t="s">
        <v>411</v>
      </c>
      <c r="E80" s="417"/>
      <c r="F80" s="377"/>
      <c r="G80" s="53">
        <f>SUM(G81:G81)</f>
        <v>0</v>
      </c>
      <c r="H80" s="53"/>
      <c r="I80" s="53"/>
      <c r="J80" s="518"/>
      <c r="K80" s="53"/>
      <c r="L80" s="377">
        <f>SUM(L81:L81)</f>
        <v>0</v>
      </c>
      <c r="M80" s="53">
        <f>SUM(M81:M81)</f>
        <v>0</v>
      </c>
      <c r="N80" s="53"/>
      <c r="O80" s="518"/>
      <c r="P80" s="377"/>
      <c r="Q80" s="377">
        <f>SUM(Q81:Q81)</f>
        <v>0</v>
      </c>
      <c r="R80" s="53"/>
      <c r="S80" s="53"/>
      <c r="T80" s="518"/>
      <c r="U80" s="377"/>
      <c r="V80" s="377">
        <f>SUM(V81:V81)</f>
        <v>0</v>
      </c>
      <c r="W80" s="53"/>
      <c r="X80" s="53"/>
      <c r="Y80" s="518"/>
      <c r="Z80" s="377"/>
      <c r="AA80" s="377">
        <f>SUM(AA81:AA81)</f>
        <v>0</v>
      </c>
      <c r="AB80" s="53"/>
      <c r="AC80" s="53"/>
      <c r="AD80" s="518"/>
      <c r="AE80" s="377"/>
      <c r="AF80" s="377">
        <f>SUM(AF81:AF81)</f>
        <v>0</v>
      </c>
      <c r="AG80" s="53"/>
      <c r="AH80" s="53"/>
      <c r="AI80" s="518"/>
      <c r="AJ80" s="377"/>
      <c r="AK80" s="377">
        <f>SUM(AK81:AK81)</f>
        <v>0</v>
      </c>
      <c r="AL80" s="53"/>
      <c r="AM80" s="53"/>
      <c r="AN80" s="518"/>
      <c r="AO80" s="377"/>
      <c r="AP80" s="377">
        <f>SUM(AP81:AP81)</f>
        <v>0</v>
      </c>
      <c r="AQ80" s="53"/>
      <c r="AR80" s="53"/>
      <c r="AS80" s="518"/>
      <c r="AT80" s="377"/>
      <c r="AU80" s="377">
        <f>SUM(AU81:AU81)</f>
        <v>0</v>
      </c>
      <c r="AV80" s="53"/>
      <c r="AW80" s="53"/>
      <c r="AX80" s="518"/>
      <c r="AY80" s="377"/>
      <c r="AZ80" s="377">
        <f>SUM(AZ81:AZ81)</f>
        <v>0</v>
      </c>
      <c r="BA80" s="53"/>
      <c r="BB80" s="53"/>
      <c r="BC80" s="518"/>
      <c r="BD80" s="377"/>
      <c r="BE80" s="377">
        <f>SUM(BE81:BE81)</f>
        <v>0</v>
      </c>
      <c r="BF80" s="53"/>
      <c r="BG80" s="53"/>
      <c r="BH80" s="518"/>
      <c r="BI80" s="377"/>
      <c r="BJ80" s="377">
        <f>SUM(BJ81:BJ81)</f>
        <v>0</v>
      </c>
      <c r="BK80" s="53"/>
      <c r="BL80" s="53"/>
      <c r="BM80" s="518"/>
      <c r="BN80" s="377"/>
      <c r="BO80" s="377">
        <f>SUM(BO81:BO81)</f>
        <v>0</v>
      </c>
      <c r="BP80" s="53"/>
      <c r="BQ80" s="53"/>
      <c r="BR80" s="518"/>
      <c r="BS80" s="377"/>
      <c r="BT80" s="53">
        <f>SUM(BT81:BT81)</f>
        <v>0</v>
      </c>
      <c r="BU80" s="53"/>
      <c r="BV80" s="54"/>
      <c r="BW80" s="465"/>
      <c r="BX80" s="410"/>
      <c r="BY80" s="410"/>
    </row>
    <row r="81" spans="1:77" ht="12.75" hidden="1" customHeight="1" x14ac:dyDescent="0.2">
      <c r="A81" s="377"/>
      <c r="B81" s="377"/>
      <c r="D81" s="465" t="s">
        <v>378</v>
      </c>
      <c r="E81" s="417"/>
      <c r="F81" s="548"/>
      <c r="G81" s="493">
        <v>0</v>
      </c>
      <c r="H81" s="549"/>
      <c r="I81" s="53"/>
      <c r="J81" s="518"/>
      <c r="K81" s="550"/>
      <c r="L81" s="493">
        <v>0</v>
      </c>
      <c r="M81" s="549"/>
      <c r="N81" s="49"/>
      <c r="O81" s="518"/>
      <c r="P81" s="548"/>
      <c r="Q81" s="493">
        <v>0</v>
      </c>
      <c r="R81" s="549"/>
      <c r="S81" s="53"/>
      <c r="T81" s="518"/>
      <c r="U81" s="548"/>
      <c r="V81" s="493">
        <v>0</v>
      </c>
      <c r="W81" s="549"/>
      <c r="X81" s="53"/>
      <c r="Y81" s="518"/>
      <c r="Z81" s="548"/>
      <c r="AA81" s="493">
        <v>0</v>
      </c>
      <c r="AB81" s="549"/>
      <c r="AC81" s="53"/>
      <c r="AD81" s="518"/>
      <c r="AE81" s="548"/>
      <c r="AF81" s="493">
        <v>0</v>
      </c>
      <c r="AG81" s="549"/>
      <c r="AH81" s="53"/>
      <c r="AI81" s="518"/>
      <c r="AJ81" s="548"/>
      <c r="AK81" s="493">
        <v>0</v>
      </c>
      <c r="AL81" s="549"/>
      <c r="AM81" s="53"/>
      <c r="AN81" s="518"/>
      <c r="AO81" s="548"/>
      <c r="AP81" s="493">
        <v>0</v>
      </c>
      <c r="AQ81" s="549"/>
      <c r="AR81" s="53"/>
      <c r="AS81" s="518"/>
      <c r="AT81" s="548"/>
      <c r="AU81" s="493">
        <v>0</v>
      </c>
      <c r="AV81" s="549"/>
      <c r="AW81" s="53"/>
      <c r="AX81" s="518"/>
      <c r="AY81" s="548"/>
      <c r="AZ81" s="493">
        <v>0</v>
      </c>
      <c r="BA81" s="549"/>
      <c r="BB81" s="53"/>
      <c r="BC81" s="518"/>
      <c r="BD81" s="548"/>
      <c r="BE81" s="493">
        <v>0</v>
      </c>
      <c r="BF81" s="549"/>
      <c r="BG81" s="53"/>
      <c r="BH81" s="518"/>
      <c r="BI81" s="548"/>
      <c r="BJ81" s="493">
        <v>0</v>
      </c>
      <c r="BK81" s="549"/>
      <c r="BL81" s="53"/>
      <c r="BM81" s="518"/>
      <c r="BN81" s="548"/>
      <c r="BO81" s="493">
        <v>0</v>
      </c>
      <c r="BP81" s="549"/>
      <c r="BQ81" s="53"/>
      <c r="BR81" s="518"/>
      <c r="BS81" s="548"/>
      <c r="BT81" s="493">
        <f>SUM(L81:BO81)</f>
        <v>0</v>
      </c>
      <c r="BU81" s="549"/>
      <c r="BV81" s="54"/>
      <c r="BW81" s="465"/>
      <c r="BX81" s="410"/>
      <c r="BY81" s="410"/>
    </row>
    <row r="82" spans="1:77" ht="12.75" hidden="1" customHeight="1" x14ac:dyDescent="0.2">
      <c r="A82" s="377"/>
      <c r="B82" s="377"/>
      <c r="D82" s="465"/>
      <c r="E82" s="417"/>
      <c r="F82" s="377"/>
      <c r="G82" s="551"/>
      <c r="H82" s="551"/>
      <c r="I82" s="551"/>
      <c r="J82" s="552"/>
      <c r="K82" s="551"/>
      <c r="L82" s="551"/>
      <c r="M82" s="551"/>
      <c r="N82" s="551"/>
      <c r="O82" s="552"/>
      <c r="P82" s="551"/>
      <c r="Q82" s="551"/>
      <c r="R82" s="551"/>
      <c r="S82" s="551"/>
      <c r="T82" s="552"/>
      <c r="U82" s="551"/>
      <c r="V82" s="551"/>
      <c r="W82" s="551"/>
      <c r="X82" s="551"/>
      <c r="Y82" s="552"/>
      <c r="Z82" s="551"/>
      <c r="AA82" s="551"/>
      <c r="AB82" s="551"/>
      <c r="AC82" s="551"/>
      <c r="AD82" s="552"/>
      <c r="AE82" s="551"/>
      <c r="AF82" s="551"/>
      <c r="AG82" s="551"/>
      <c r="AH82" s="551"/>
      <c r="AI82" s="552"/>
      <c r="AJ82" s="551"/>
      <c r="AK82" s="551"/>
      <c r="AL82" s="551"/>
      <c r="AM82" s="551"/>
      <c r="AN82" s="552"/>
      <c r="AO82" s="551"/>
      <c r="AP82" s="551"/>
      <c r="AQ82" s="551"/>
      <c r="AR82" s="551"/>
      <c r="AS82" s="552"/>
      <c r="AT82" s="551"/>
      <c r="AU82" s="551"/>
      <c r="AV82" s="551"/>
      <c r="AW82" s="551"/>
      <c r="AX82" s="552"/>
      <c r="AY82" s="551"/>
      <c r="AZ82" s="551"/>
      <c r="BA82" s="551"/>
      <c r="BB82" s="551"/>
      <c r="BC82" s="552"/>
      <c r="BD82" s="551"/>
      <c r="BE82" s="551"/>
      <c r="BF82" s="551"/>
      <c r="BG82" s="551"/>
      <c r="BH82" s="552"/>
      <c r="BI82" s="551"/>
      <c r="BJ82" s="551"/>
      <c r="BK82" s="551"/>
      <c r="BL82" s="551"/>
      <c r="BM82" s="552"/>
      <c r="BN82" s="551"/>
      <c r="BO82" s="551"/>
      <c r="BP82" s="551"/>
      <c r="BQ82" s="551"/>
      <c r="BR82" s="552"/>
      <c r="BS82" s="551"/>
      <c r="BT82" s="53"/>
      <c r="BU82" s="53"/>
      <c r="BV82" s="54"/>
      <c r="BW82" s="465"/>
      <c r="BX82" s="410"/>
      <c r="BY82" s="410"/>
    </row>
    <row r="83" spans="1:77" ht="12.75" hidden="1" customHeight="1" x14ac:dyDescent="0.2">
      <c r="A83" s="377"/>
      <c r="B83" s="377"/>
      <c r="D83" s="465" t="s">
        <v>387</v>
      </c>
      <c r="E83" s="417"/>
      <c r="F83" s="377"/>
      <c r="G83" s="53">
        <f>SUM(G84:G84)</f>
        <v>0</v>
      </c>
      <c r="H83" s="53"/>
      <c r="I83" s="53"/>
      <c r="J83" s="518"/>
      <c r="K83" s="53"/>
      <c r="L83" s="53">
        <f>SUM(L84:L84)</f>
        <v>0</v>
      </c>
      <c r="M83" s="53"/>
      <c r="N83" s="53"/>
      <c r="O83" s="518"/>
      <c r="P83" s="53"/>
      <c r="Q83" s="53">
        <f>SUM(Q84:Q84)</f>
        <v>0</v>
      </c>
      <c r="R83" s="53"/>
      <c r="S83" s="53"/>
      <c r="T83" s="518"/>
      <c r="U83" s="53"/>
      <c r="V83" s="53">
        <f>SUM(V84:V84)</f>
        <v>0</v>
      </c>
      <c r="W83" s="53"/>
      <c r="X83" s="53"/>
      <c r="Y83" s="518"/>
      <c r="Z83" s="53"/>
      <c r="AA83" s="53">
        <f>SUM(AA84:AA84)</f>
        <v>0</v>
      </c>
      <c r="AB83" s="53"/>
      <c r="AC83" s="53"/>
      <c r="AD83" s="518"/>
      <c r="AE83" s="53"/>
      <c r="AF83" s="53">
        <f>SUM(AF84:AF84)</f>
        <v>0</v>
      </c>
      <c r="AG83" s="53"/>
      <c r="AH83" s="53"/>
      <c r="AI83" s="518"/>
      <c r="AJ83" s="53"/>
      <c r="AK83" s="53">
        <f>SUM(AK84:AK84)</f>
        <v>0</v>
      </c>
      <c r="AL83" s="53"/>
      <c r="AM83" s="53"/>
      <c r="AN83" s="518"/>
      <c r="AO83" s="53"/>
      <c r="AP83" s="53">
        <f>SUM(AP84:AP84)</f>
        <v>0</v>
      </c>
      <c r="AQ83" s="53"/>
      <c r="AR83" s="53"/>
      <c r="AS83" s="518"/>
      <c r="AT83" s="53"/>
      <c r="AU83" s="53">
        <f>SUM(AU84:AU84)</f>
        <v>0</v>
      </c>
      <c r="AV83" s="53"/>
      <c r="AW83" s="53"/>
      <c r="AX83" s="518"/>
      <c r="AY83" s="53"/>
      <c r="AZ83" s="53">
        <f>SUM(AZ84:AZ84)</f>
        <v>0</v>
      </c>
      <c r="BA83" s="53"/>
      <c r="BB83" s="53"/>
      <c r="BC83" s="518"/>
      <c r="BD83" s="53"/>
      <c r="BE83" s="53">
        <f>SUM(BE84:BE84)</f>
        <v>0</v>
      </c>
      <c r="BF83" s="53"/>
      <c r="BG83" s="53"/>
      <c r="BH83" s="518"/>
      <c r="BI83" s="53"/>
      <c r="BJ83" s="53">
        <f>SUM(BJ84:BJ84)</f>
        <v>0</v>
      </c>
      <c r="BK83" s="53"/>
      <c r="BL83" s="53"/>
      <c r="BM83" s="518"/>
      <c r="BN83" s="53"/>
      <c r="BO83" s="53">
        <f>SUM(BO84:BO84)</f>
        <v>0</v>
      </c>
      <c r="BP83" s="53"/>
      <c r="BQ83" s="53"/>
      <c r="BR83" s="518"/>
      <c r="BS83" s="53"/>
      <c r="BT83" s="53">
        <f>SUM(BT84:BT84)</f>
        <v>0</v>
      </c>
      <c r="BU83" s="53"/>
      <c r="BV83" s="54"/>
      <c r="BW83" s="465"/>
      <c r="BX83" s="410"/>
      <c r="BY83" s="410"/>
    </row>
    <row r="84" spans="1:77" ht="12.75" hidden="1" customHeight="1" x14ac:dyDescent="0.2">
      <c r="A84" s="377"/>
      <c r="B84" s="377"/>
      <c r="D84" s="465" t="s">
        <v>378</v>
      </c>
      <c r="E84" s="417"/>
      <c r="F84" s="548"/>
      <c r="G84" s="493">
        <v>0</v>
      </c>
      <c r="H84" s="549"/>
      <c r="I84" s="53"/>
      <c r="J84" s="518"/>
      <c r="K84" s="550"/>
      <c r="L84" s="493">
        <v>0</v>
      </c>
      <c r="M84" s="549"/>
      <c r="N84" s="53"/>
      <c r="O84" s="518"/>
      <c r="P84" s="550"/>
      <c r="Q84" s="493">
        <v>0</v>
      </c>
      <c r="R84" s="549"/>
      <c r="S84" s="53"/>
      <c r="T84" s="518"/>
      <c r="U84" s="550"/>
      <c r="V84" s="493">
        <v>0</v>
      </c>
      <c r="W84" s="549"/>
      <c r="X84" s="53"/>
      <c r="Y84" s="518"/>
      <c r="Z84" s="550"/>
      <c r="AA84" s="493">
        <v>0</v>
      </c>
      <c r="AB84" s="549"/>
      <c r="AC84" s="53"/>
      <c r="AD84" s="518"/>
      <c r="AE84" s="550"/>
      <c r="AF84" s="493">
        <v>0</v>
      </c>
      <c r="AG84" s="549"/>
      <c r="AH84" s="53"/>
      <c r="AI84" s="518"/>
      <c r="AJ84" s="550"/>
      <c r="AK84" s="493">
        <v>0</v>
      </c>
      <c r="AL84" s="549"/>
      <c r="AM84" s="53"/>
      <c r="AN84" s="518"/>
      <c r="AO84" s="550"/>
      <c r="AP84" s="493">
        <v>0</v>
      </c>
      <c r="AQ84" s="549"/>
      <c r="AR84" s="53"/>
      <c r="AS84" s="518"/>
      <c r="AT84" s="550"/>
      <c r="AU84" s="493">
        <v>0</v>
      </c>
      <c r="AV84" s="549"/>
      <c r="AW84" s="53"/>
      <c r="AX84" s="518"/>
      <c r="AY84" s="550"/>
      <c r="AZ84" s="493">
        <v>0</v>
      </c>
      <c r="BA84" s="549"/>
      <c r="BB84" s="53"/>
      <c r="BC84" s="518"/>
      <c r="BD84" s="550"/>
      <c r="BE84" s="493">
        <v>0</v>
      </c>
      <c r="BF84" s="549"/>
      <c r="BG84" s="53"/>
      <c r="BH84" s="518"/>
      <c r="BI84" s="550"/>
      <c r="BJ84" s="493">
        <v>0</v>
      </c>
      <c r="BK84" s="549"/>
      <c r="BL84" s="53"/>
      <c r="BM84" s="518"/>
      <c r="BN84" s="550"/>
      <c r="BO84" s="493">
        <v>0</v>
      </c>
      <c r="BP84" s="549"/>
      <c r="BQ84" s="53"/>
      <c r="BR84" s="518"/>
      <c r="BS84" s="550"/>
      <c r="BT84" s="493">
        <f>SUM(L84:BO84)</f>
        <v>0</v>
      </c>
      <c r="BU84" s="549"/>
      <c r="BV84" s="54"/>
      <c r="BW84" s="465"/>
      <c r="BX84" s="410"/>
      <c r="BY84" s="410"/>
    </row>
    <row r="85" spans="1:77" hidden="1" x14ac:dyDescent="0.2">
      <c r="A85" s="377"/>
      <c r="B85" s="377"/>
      <c r="D85" s="465"/>
      <c r="E85" s="417"/>
      <c r="F85" s="377"/>
      <c r="G85" s="53"/>
      <c r="H85" s="53"/>
      <c r="I85" s="53"/>
      <c r="J85" s="518"/>
      <c r="K85" s="53"/>
      <c r="L85" s="53"/>
      <c r="M85" s="53"/>
      <c r="N85" s="53"/>
      <c r="O85" s="518"/>
      <c r="P85" s="53"/>
      <c r="Q85" s="53"/>
      <c r="R85" s="53"/>
      <c r="S85" s="53"/>
      <c r="T85" s="518"/>
      <c r="U85" s="53"/>
      <c r="V85" s="53"/>
      <c r="W85" s="53"/>
      <c r="X85" s="53"/>
      <c r="Y85" s="518"/>
      <c r="Z85" s="53"/>
      <c r="AA85" s="53"/>
      <c r="AB85" s="53"/>
      <c r="AC85" s="53"/>
      <c r="AD85" s="518"/>
      <c r="AE85" s="53"/>
      <c r="AF85" s="53"/>
      <c r="AG85" s="53"/>
      <c r="AH85" s="53"/>
      <c r="AI85" s="518"/>
      <c r="AJ85" s="53"/>
      <c r="AK85" s="53"/>
      <c r="AL85" s="53"/>
      <c r="AM85" s="53"/>
      <c r="AN85" s="518"/>
      <c r="AO85" s="53"/>
      <c r="AP85" s="53"/>
      <c r="AQ85" s="53"/>
      <c r="AR85" s="53"/>
      <c r="AS85" s="518"/>
      <c r="AT85" s="53"/>
      <c r="AU85" s="53"/>
      <c r="AV85" s="53"/>
      <c r="AW85" s="53"/>
      <c r="AX85" s="518"/>
      <c r="AY85" s="53"/>
      <c r="AZ85" s="53"/>
      <c r="BA85" s="53"/>
      <c r="BB85" s="53"/>
      <c r="BC85" s="518"/>
      <c r="BD85" s="53"/>
      <c r="BE85" s="53"/>
      <c r="BF85" s="53"/>
      <c r="BG85" s="53"/>
      <c r="BH85" s="518"/>
      <c r="BI85" s="53"/>
      <c r="BJ85" s="53"/>
      <c r="BK85" s="53"/>
      <c r="BL85" s="53"/>
      <c r="BM85" s="518"/>
      <c r="BN85" s="53"/>
      <c r="BO85" s="53"/>
      <c r="BP85" s="53"/>
      <c r="BQ85" s="53"/>
      <c r="BR85" s="518"/>
      <c r="BS85" s="53"/>
      <c r="BT85" s="53"/>
      <c r="BU85" s="53"/>
      <c r="BV85" s="54"/>
      <c r="BW85" s="465"/>
      <c r="BX85" s="410"/>
      <c r="BY85" s="410"/>
    </row>
    <row r="86" spans="1:77" hidden="1" x14ac:dyDescent="0.2">
      <c r="A86" s="377"/>
      <c r="B86" s="377"/>
      <c r="D86" s="465" t="s">
        <v>391</v>
      </c>
      <c r="E86" s="417"/>
      <c r="F86" s="377"/>
      <c r="G86" s="53">
        <f>SUM(G87:G87)</f>
        <v>0</v>
      </c>
      <c r="H86" s="53"/>
      <c r="I86" s="53"/>
      <c r="J86" s="518"/>
      <c r="K86" s="377"/>
      <c r="L86" s="53">
        <f>SUM(L87:L87)</f>
        <v>0</v>
      </c>
      <c r="M86" s="53"/>
      <c r="N86" s="53"/>
      <c r="O86" s="518"/>
      <c r="P86" s="53"/>
      <c r="Q86" s="53">
        <f>SUM(Q87:Q87)</f>
        <v>0</v>
      </c>
      <c r="R86" s="53"/>
      <c r="S86" s="53"/>
      <c r="T86" s="518"/>
      <c r="U86" s="53"/>
      <c r="V86" s="53">
        <f>SUM(V87:V87)</f>
        <v>0</v>
      </c>
      <c r="W86" s="53"/>
      <c r="X86" s="53"/>
      <c r="Y86" s="518"/>
      <c r="Z86" s="53"/>
      <c r="AA86" s="53">
        <f>SUM(AA87:AA87)</f>
        <v>0</v>
      </c>
      <c r="AB86" s="53"/>
      <c r="AC86" s="53"/>
      <c r="AD86" s="518"/>
      <c r="AE86" s="53"/>
      <c r="AF86" s="53">
        <f>SUM(AF87:AF87)</f>
        <v>0</v>
      </c>
      <c r="AG86" s="53"/>
      <c r="AH86" s="53"/>
      <c r="AI86" s="518"/>
      <c r="AJ86" s="53"/>
      <c r="AK86" s="53">
        <f>SUM(AK87:AK87)</f>
        <v>0</v>
      </c>
      <c r="AL86" s="53"/>
      <c r="AM86" s="53"/>
      <c r="AN86" s="518"/>
      <c r="AO86" s="53"/>
      <c r="AP86" s="53">
        <f>SUM(AP87:AP87)</f>
        <v>0</v>
      </c>
      <c r="AQ86" s="53"/>
      <c r="AR86" s="53"/>
      <c r="AS86" s="518"/>
      <c r="AT86" s="53"/>
      <c r="AU86" s="53">
        <f>SUM(AU87:AU87)</f>
        <v>0</v>
      </c>
      <c r="AV86" s="53"/>
      <c r="AW86" s="53"/>
      <c r="AX86" s="518"/>
      <c r="AY86" s="53"/>
      <c r="AZ86" s="53">
        <f>SUM(AZ87:AZ87)</f>
        <v>0</v>
      </c>
      <c r="BA86" s="53"/>
      <c r="BB86" s="53"/>
      <c r="BC86" s="518"/>
      <c r="BD86" s="53"/>
      <c r="BE86" s="53">
        <f>SUM(BE87:BE87)</f>
        <v>0</v>
      </c>
      <c r="BF86" s="53"/>
      <c r="BG86" s="53"/>
      <c r="BH86" s="518"/>
      <c r="BI86" s="53"/>
      <c r="BJ86" s="53">
        <f>SUM(BJ87:BJ87)</f>
        <v>0</v>
      </c>
      <c r="BK86" s="53"/>
      <c r="BL86" s="53"/>
      <c r="BM86" s="518"/>
      <c r="BN86" s="53"/>
      <c r="BO86" s="53">
        <f>SUM(BO87:BO87)</f>
        <v>0</v>
      </c>
      <c r="BP86" s="53"/>
      <c r="BQ86" s="53"/>
      <c r="BR86" s="518"/>
      <c r="BS86" s="377"/>
      <c r="BT86" s="53">
        <f>SUM(BT87:BT87)</f>
        <v>0</v>
      </c>
      <c r="BU86" s="53"/>
      <c r="BV86" s="54"/>
      <c r="BW86" s="465"/>
      <c r="BX86" s="410"/>
      <c r="BY86" s="410"/>
    </row>
    <row r="87" spans="1:77" hidden="1" x14ac:dyDescent="0.2">
      <c r="A87" s="377"/>
      <c r="B87" s="377"/>
      <c r="D87" s="465" t="s">
        <v>378</v>
      </c>
      <c r="E87" s="417"/>
      <c r="F87" s="548"/>
      <c r="G87" s="493">
        <v>0</v>
      </c>
      <c r="H87" s="549"/>
      <c r="I87" s="53"/>
      <c r="J87" s="518"/>
      <c r="K87" s="548"/>
      <c r="L87" s="493">
        <v>0</v>
      </c>
      <c r="M87" s="549"/>
      <c r="N87" s="53"/>
      <c r="O87" s="518"/>
      <c r="P87" s="550"/>
      <c r="Q87" s="493">
        <v>0</v>
      </c>
      <c r="R87" s="549"/>
      <c r="S87" s="53"/>
      <c r="T87" s="518"/>
      <c r="U87" s="550"/>
      <c r="V87" s="493">
        <v>0</v>
      </c>
      <c r="W87" s="549"/>
      <c r="X87" s="53"/>
      <c r="Y87" s="518"/>
      <c r="Z87" s="550"/>
      <c r="AA87" s="493">
        <v>0</v>
      </c>
      <c r="AB87" s="549"/>
      <c r="AC87" s="53"/>
      <c r="AD87" s="518"/>
      <c r="AE87" s="550"/>
      <c r="AF87" s="493">
        <v>0</v>
      </c>
      <c r="AG87" s="549"/>
      <c r="AH87" s="53"/>
      <c r="AI87" s="518"/>
      <c r="AJ87" s="550"/>
      <c r="AK87" s="493">
        <v>0</v>
      </c>
      <c r="AL87" s="549"/>
      <c r="AM87" s="53"/>
      <c r="AN87" s="518"/>
      <c r="AO87" s="550"/>
      <c r="AP87" s="493">
        <v>0</v>
      </c>
      <c r="AQ87" s="549"/>
      <c r="AR87" s="53"/>
      <c r="AS87" s="518"/>
      <c r="AT87" s="550"/>
      <c r="AU87" s="493">
        <v>0</v>
      </c>
      <c r="AV87" s="549"/>
      <c r="AW87" s="53"/>
      <c r="AX87" s="518"/>
      <c r="AY87" s="550"/>
      <c r="AZ87" s="493">
        <v>0</v>
      </c>
      <c r="BA87" s="549"/>
      <c r="BB87" s="53"/>
      <c r="BC87" s="518"/>
      <c r="BD87" s="550"/>
      <c r="BE87" s="493">
        <v>0</v>
      </c>
      <c r="BF87" s="549"/>
      <c r="BG87" s="53"/>
      <c r="BH87" s="518"/>
      <c r="BI87" s="550"/>
      <c r="BJ87" s="493">
        <v>0</v>
      </c>
      <c r="BK87" s="549"/>
      <c r="BL87" s="53"/>
      <c r="BM87" s="518"/>
      <c r="BN87" s="550"/>
      <c r="BO87" s="493">
        <v>0</v>
      </c>
      <c r="BP87" s="549"/>
      <c r="BQ87" s="53"/>
      <c r="BR87" s="518"/>
      <c r="BS87" s="550"/>
      <c r="BT87" s="493">
        <f>SUM(L87:BO87)</f>
        <v>0</v>
      </c>
      <c r="BU87" s="549"/>
      <c r="BV87" s="54"/>
      <c r="BW87" s="465"/>
      <c r="BX87" s="410"/>
      <c r="BY87" s="410"/>
    </row>
    <row r="88" spans="1:77" hidden="1" x14ac:dyDescent="0.2">
      <c r="A88" s="377"/>
      <c r="B88" s="377"/>
      <c r="D88" s="465"/>
      <c r="E88" s="417"/>
      <c r="F88" s="377"/>
      <c r="G88" s="53"/>
      <c r="H88" s="53"/>
      <c r="I88" s="53"/>
      <c r="J88" s="518"/>
      <c r="K88" s="53"/>
      <c r="L88" s="53"/>
      <c r="M88" s="53"/>
      <c r="N88" s="53"/>
      <c r="O88" s="518"/>
      <c r="P88" s="53"/>
      <c r="Q88" s="53"/>
      <c r="R88" s="53"/>
      <c r="S88" s="53"/>
      <c r="T88" s="518"/>
      <c r="U88" s="53"/>
      <c r="V88" s="53"/>
      <c r="W88" s="53"/>
      <c r="X88" s="53"/>
      <c r="Y88" s="518"/>
      <c r="Z88" s="53"/>
      <c r="AA88" s="53"/>
      <c r="AB88" s="53"/>
      <c r="AC88" s="53"/>
      <c r="AD88" s="518"/>
      <c r="AE88" s="53"/>
      <c r="AF88" s="53"/>
      <c r="AG88" s="53"/>
      <c r="AH88" s="53"/>
      <c r="AI88" s="518"/>
      <c r="AJ88" s="53"/>
      <c r="AK88" s="53"/>
      <c r="AL88" s="53"/>
      <c r="AM88" s="53"/>
      <c r="AN88" s="518"/>
      <c r="AO88" s="53"/>
      <c r="AP88" s="53"/>
      <c r="AQ88" s="53"/>
      <c r="AR88" s="53"/>
      <c r="AS88" s="518"/>
      <c r="AT88" s="53"/>
      <c r="AU88" s="53"/>
      <c r="AV88" s="53"/>
      <c r="AW88" s="53"/>
      <c r="AX88" s="518"/>
      <c r="AY88" s="53"/>
      <c r="AZ88" s="53"/>
      <c r="BA88" s="53"/>
      <c r="BB88" s="53"/>
      <c r="BC88" s="518"/>
      <c r="BD88" s="53"/>
      <c r="BE88" s="53"/>
      <c r="BF88" s="53"/>
      <c r="BG88" s="53"/>
      <c r="BH88" s="518"/>
      <c r="BI88" s="53"/>
      <c r="BJ88" s="53"/>
      <c r="BK88" s="53"/>
      <c r="BL88" s="53"/>
      <c r="BM88" s="518"/>
      <c r="BN88" s="53"/>
      <c r="BO88" s="53"/>
      <c r="BP88" s="53"/>
      <c r="BQ88" s="53"/>
      <c r="BR88" s="518"/>
      <c r="BS88" s="53"/>
      <c r="BT88" s="53"/>
      <c r="BU88" s="53"/>
      <c r="BV88" s="54"/>
      <c r="BW88" s="465"/>
      <c r="BX88" s="410"/>
      <c r="BY88" s="410"/>
    </row>
    <row r="89" spans="1:77" hidden="1" x14ac:dyDescent="0.2">
      <c r="A89" s="377"/>
      <c r="B89" s="377"/>
      <c r="D89" s="465" t="str">
        <f>[18]domlongtermissues!D312:D312</f>
        <v xml:space="preserve">  R2037  (8.50%  2037/01/31)</v>
      </c>
      <c r="E89" s="417"/>
      <c r="F89" s="377"/>
      <c r="G89" s="53">
        <f>SUM(G90:G90)</f>
        <v>0</v>
      </c>
      <c r="H89" s="53"/>
      <c r="I89" s="53"/>
      <c r="J89" s="518"/>
      <c r="K89" s="53"/>
      <c r="L89" s="53">
        <f>SUM(L90:L90)</f>
        <v>0</v>
      </c>
      <c r="M89" s="53"/>
      <c r="N89" s="53"/>
      <c r="O89" s="518"/>
      <c r="P89" s="53"/>
      <c r="Q89" s="53">
        <f>SUM(Q90:Q90)</f>
        <v>0</v>
      </c>
      <c r="R89" s="53"/>
      <c r="S89" s="53"/>
      <c r="T89" s="518"/>
      <c r="U89" s="53"/>
      <c r="V89" s="53">
        <f>SUM(V90:V90)</f>
        <v>0</v>
      </c>
      <c r="W89" s="53"/>
      <c r="X89" s="53"/>
      <c r="Y89" s="518"/>
      <c r="Z89" s="53"/>
      <c r="AA89" s="53">
        <f>SUM(AA90:AA90)</f>
        <v>0</v>
      </c>
      <c r="AB89" s="53"/>
      <c r="AC89" s="53"/>
      <c r="AD89" s="518"/>
      <c r="AE89" s="53"/>
      <c r="AF89" s="53">
        <f>SUM(AF90:AF90)</f>
        <v>0</v>
      </c>
      <c r="AG89" s="53"/>
      <c r="AH89" s="53"/>
      <c r="AI89" s="518"/>
      <c r="AJ89" s="53"/>
      <c r="AK89" s="53">
        <f>SUM(AK90:AK90)</f>
        <v>0</v>
      </c>
      <c r="AL89" s="53"/>
      <c r="AM89" s="53"/>
      <c r="AN89" s="518"/>
      <c r="AO89" s="53"/>
      <c r="AP89" s="53">
        <f>SUM(AP90:AP90)</f>
        <v>0</v>
      </c>
      <c r="AQ89" s="53"/>
      <c r="AR89" s="53"/>
      <c r="AS89" s="518"/>
      <c r="AT89" s="53"/>
      <c r="AU89" s="53">
        <f>SUM(AU90:AU90)</f>
        <v>0</v>
      </c>
      <c r="AV89" s="53"/>
      <c r="AW89" s="53"/>
      <c r="AX89" s="518"/>
      <c r="AY89" s="53"/>
      <c r="AZ89" s="53">
        <f>SUM(AZ90:AZ90)</f>
        <v>0</v>
      </c>
      <c r="BA89" s="53"/>
      <c r="BB89" s="53"/>
      <c r="BC89" s="518"/>
      <c r="BD89" s="53"/>
      <c r="BE89" s="53">
        <f>SUM(BE90:BE90)</f>
        <v>0</v>
      </c>
      <c r="BF89" s="53"/>
      <c r="BG89" s="53"/>
      <c r="BH89" s="518"/>
      <c r="BI89" s="53"/>
      <c r="BJ89" s="53">
        <f>SUM(BJ90:BJ90)</f>
        <v>0</v>
      </c>
      <c r="BK89" s="53"/>
      <c r="BL89" s="53"/>
      <c r="BM89" s="518"/>
      <c r="BN89" s="53"/>
      <c r="BO89" s="53">
        <f>SUM(BO90:BO90)</f>
        <v>0</v>
      </c>
      <c r="BP89" s="53"/>
      <c r="BQ89" s="53"/>
      <c r="BR89" s="518"/>
      <c r="BS89" s="53"/>
      <c r="BT89" s="53">
        <f>SUM(BT90:BT90)</f>
        <v>0</v>
      </c>
      <c r="BU89" s="53"/>
      <c r="BV89" s="54"/>
      <c r="BW89" s="465"/>
      <c r="BX89" s="410"/>
      <c r="BY89" s="410"/>
    </row>
    <row r="90" spans="1:77" hidden="1" x14ac:dyDescent="0.2">
      <c r="A90" s="377"/>
      <c r="B90" s="377"/>
      <c r="D90" s="465" t="s">
        <v>378</v>
      </c>
      <c r="E90" s="417"/>
      <c r="F90" s="548"/>
      <c r="G90" s="493">
        <v>0</v>
      </c>
      <c r="H90" s="549"/>
      <c r="I90" s="53"/>
      <c r="J90" s="518"/>
      <c r="K90" s="550"/>
      <c r="L90" s="493">
        <v>0</v>
      </c>
      <c r="M90" s="549"/>
      <c r="N90" s="53"/>
      <c r="O90" s="518"/>
      <c r="P90" s="550"/>
      <c r="Q90" s="493">
        <v>0</v>
      </c>
      <c r="R90" s="549"/>
      <c r="S90" s="53"/>
      <c r="T90" s="518"/>
      <c r="U90" s="550"/>
      <c r="V90" s="493">
        <v>0</v>
      </c>
      <c r="W90" s="549"/>
      <c r="X90" s="53"/>
      <c r="Y90" s="518"/>
      <c r="Z90" s="550"/>
      <c r="AA90" s="493">
        <v>0</v>
      </c>
      <c r="AB90" s="549"/>
      <c r="AC90" s="53"/>
      <c r="AD90" s="518"/>
      <c r="AE90" s="550"/>
      <c r="AF90" s="493">
        <v>0</v>
      </c>
      <c r="AG90" s="549"/>
      <c r="AH90" s="53"/>
      <c r="AI90" s="518"/>
      <c r="AJ90" s="550"/>
      <c r="AK90" s="493">
        <v>0</v>
      </c>
      <c r="AL90" s="549"/>
      <c r="AM90" s="53"/>
      <c r="AN90" s="518"/>
      <c r="AO90" s="550"/>
      <c r="AP90" s="493">
        <v>0</v>
      </c>
      <c r="AQ90" s="549"/>
      <c r="AR90" s="53"/>
      <c r="AS90" s="518"/>
      <c r="AT90" s="550"/>
      <c r="AU90" s="493">
        <v>0</v>
      </c>
      <c r="AV90" s="549"/>
      <c r="AW90" s="53"/>
      <c r="AX90" s="518"/>
      <c r="AY90" s="550"/>
      <c r="AZ90" s="493">
        <v>0</v>
      </c>
      <c r="BA90" s="549"/>
      <c r="BB90" s="53"/>
      <c r="BC90" s="518"/>
      <c r="BD90" s="550"/>
      <c r="BE90" s="493">
        <v>0</v>
      </c>
      <c r="BF90" s="549"/>
      <c r="BG90" s="53"/>
      <c r="BH90" s="518"/>
      <c r="BI90" s="550"/>
      <c r="BJ90" s="493">
        <v>0</v>
      </c>
      <c r="BK90" s="549"/>
      <c r="BL90" s="53"/>
      <c r="BM90" s="518"/>
      <c r="BN90" s="550"/>
      <c r="BO90" s="493">
        <v>0</v>
      </c>
      <c r="BP90" s="549"/>
      <c r="BQ90" s="53"/>
      <c r="BR90" s="518"/>
      <c r="BS90" s="550"/>
      <c r="BT90" s="493">
        <f>SUM(L90:BO90)</f>
        <v>0</v>
      </c>
      <c r="BU90" s="549"/>
      <c r="BV90" s="54"/>
      <c r="BW90" s="465"/>
      <c r="BX90" s="410"/>
      <c r="BY90" s="410"/>
    </row>
    <row r="91" spans="1:77" hidden="1" x14ac:dyDescent="0.2">
      <c r="A91" s="377"/>
      <c r="B91" s="377"/>
      <c r="D91" s="465"/>
      <c r="E91" s="417"/>
      <c r="F91" s="377"/>
      <c r="G91" s="53"/>
      <c r="H91" s="53"/>
      <c r="I91" s="53"/>
      <c r="J91" s="518"/>
      <c r="K91" s="53"/>
      <c r="L91" s="53"/>
      <c r="M91" s="53"/>
      <c r="N91" s="53"/>
      <c r="O91" s="518"/>
      <c r="P91" s="53"/>
      <c r="Q91" s="53"/>
      <c r="R91" s="53"/>
      <c r="S91" s="53"/>
      <c r="T91" s="518"/>
      <c r="U91" s="53"/>
      <c r="V91" s="53"/>
      <c r="W91" s="53"/>
      <c r="X91" s="53"/>
      <c r="Y91" s="518"/>
      <c r="Z91" s="53"/>
      <c r="AA91" s="53"/>
      <c r="AB91" s="53"/>
      <c r="AC91" s="53"/>
      <c r="AD91" s="518"/>
      <c r="AE91" s="53"/>
      <c r="AF91" s="53"/>
      <c r="AG91" s="53"/>
      <c r="AH91" s="53"/>
      <c r="AI91" s="518"/>
      <c r="AJ91" s="53"/>
      <c r="AK91" s="53"/>
      <c r="AL91" s="53"/>
      <c r="AM91" s="53"/>
      <c r="AN91" s="518"/>
      <c r="AO91" s="53"/>
      <c r="AP91" s="53"/>
      <c r="AQ91" s="53"/>
      <c r="AR91" s="53"/>
      <c r="AS91" s="518"/>
      <c r="AT91" s="53"/>
      <c r="AU91" s="53"/>
      <c r="AV91" s="53"/>
      <c r="AW91" s="53"/>
      <c r="AX91" s="518"/>
      <c r="AY91" s="53"/>
      <c r="AZ91" s="53"/>
      <c r="BA91" s="53"/>
      <c r="BB91" s="53"/>
      <c r="BC91" s="518"/>
      <c r="BD91" s="53"/>
      <c r="BE91" s="53"/>
      <c r="BF91" s="53"/>
      <c r="BG91" s="53"/>
      <c r="BH91" s="518"/>
      <c r="BI91" s="53"/>
      <c r="BJ91" s="53"/>
      <c r="BK91" s="53"/>
      <c r="BL91" s="53"/>
      <c r="BM91" s="518"/>
      <c r="BN91" s="53"/>
      <c r="BO91" s="53"/>
      <c r="BP91" s="53"/>
      <c r="BQ91" s="53"/>
      <c r="BR91" s="518"/>
      <c r="BS91" s="53"/>
      <c r="BT91" s="53"/>
      <c r="BU91" s="53"/>
      <c r="BV91" s="54"/>
      <c r="BW91" s="465"/>
      <c r="BX91" s="410"/>
      <c r="BY91" s="410"/>
    </row>
    <row r="92" spans="1:77" hidden="1" x14ac:dyDescent="0.2">
      <c r="A92" s="377"/>
      <c r="B92" s="377"/>
      <c r="D92" s="465" t="str">
        <f>[18]domlongtermissues!D309</f>
        <v xml:space="preserve">  R210 (2.60%  2028/03/31)</v>
      </c>
      <c r="E92" s="417"/>
      <c r="F92" s="377"/>
      <c r="G92" s="53">
        <f>SUM(G93:G93)</f>
        <v>0</v>
      </c>
      <c r="H92" s="53"/>
      <c r="I92" s="53"/>
      <c r="J92" s="518"/>
      <c r="K92" s="53"/>
      <c r="L92" s="53">
        <f>SUM(L93:L93)</f>
        <v>0</v>
      </c>
      <c r="M92" s="53"/>
      <c r="N92" s="53"/>
      <c r="O92" s="518"/>
      <c r="P92" s="53"/>
      <c r="Q92" s="53">
        <f>SUM(Q93:Q93)</f>
        <v>0</v>
      </c>
      <c r="R92" s="53"/>
      <c r="S92" s="53"/>
      <c r="T92" s="518"/>
      <c r="U92" s="53"/>
      <c r="V92" s="53">
        <f>SUM(V93:V93)</f>
        <v>0</v>
      </c>
      <c r="W92" s="53"/>
      <c r="X92" s="53"/>
      <c r="Y92" s="518"/>
      <c r="Z92" s="53"/>
      <c r="AA92" s="53">
        <f>SUM(AA93:AA93)</f>
        <v>0</v>
      </c>
      <c r="AB92" s="53"/>
      <c r="AC92" s="53"/>
      <c r="AD92" s="518"/>
      <c r="AE92" s="53"/>
      <c r="AF92" s="53">
        <f>SUM(AF93:AF93)</f>
        <v>0</v>
      </c>
      <c r="AG92" s="53"/>
      <c r="AH92" s="53"/>
      <c r="AI92" s="518"/>
      <c r="AJ92" s="53"/>
      <c r="AK92" s="53">
        <f>SUM(AK93:AK93)</f>
        <v>0</v>
      </c>
      <c r="AL92" s="53"/>
      <c r="AM92" s="53"/>
      <c r="AN92" s="518"/>
      <c r="AO92" s="53"/>
      <c r="AP92" s="53">
        <f>SUM(AP93:AP93)</f>
        <v>0</v>
      </c>
      <c r="AQ92" s="53"/>
      <c r="AR92" s="53"/>
      <c r="AS92" s="518"/>
      <c r="AT92" s="53"/>
      <c r="AU92" s="53">
        <f>SUM(AU93:AU93)</f>
        <v>0</v>
      </c>
      <c r="AV92" s="53"/>
      <c r="AW92" s="53"/>
      <c r="AX92" s="518"/>
      <c r="AY92" s="53"/>
      <c r="AZ92" s="53">
        <f>SUM(AZ93:AZ93)</f>
        <v>0</v>
      </c>
      <c r="BA92" s="53"/>
      <c r="BB92" s="53"/>
      <c r="BC92" s="518"/>
      <c r="BD92" s="53"/>
      <c r="BE92" s="53">
        <f>SUM(BE93:BE93)</f>
        <v>0</v>
      </c>
      <c r="BF92" s="53"/>
      <c r="BG92" s="53"/>
      <c r="BH92" s="518"/>
      <c r="BI92" s="53"/>
      <c r="BJ92" s="53">
        <f>SUM(BJ93:BJ93)</f>
        <v>0</v>
      </c>
      <c r="BK92" s="53"/>
      <c r="BL92" s="53"/>
      <c r="BM92" s="518"/>
      <c r="BN92" s="53"/>
      <c r="BO92" s="53">
        <f>SUM(BO93:BO93)</f>
        <v>0</v>
      </c>
      <c r="BP92" s="53"/>
      <c r="BQ92" s="53"/>
      <c r="BR92" s="518"/>
      <c r="BS92" s="53"/>
      <c r="BT92" s="53">
        <f>SUM(BT93:BT93)</f>
        <v>0</v>
      </c>
      <c r="BU92" s="53"/>
      <c r="BV92" s="54"/>
      <c r="BW92" s="465"/>
      <c r="BX92" s="410"/>
      <c r="BY92" s="410"/>
    </row>
    <row r="93" spans="1:77" hidden="1" x14ac:dyDescent="0.2">
      <c r="A93" s="377"/>
      <c r="B93" s="377"/>
      <c r="D93" s="465" t="s">
        <v>378</v>
      </c>
      <c r="E93" s="417"/>
      <c r="F93" s="548"/>
      <c r="G93" s="493">
        <v>0</v>
      </c>
      <c r="H93" s="549"/>
      <c r="I93" s="53"/>
      <c r="J93" s="518"/>
      <c r="K93" s="550"/>
      <c r="L93" s="493">
        <v>0</v>
      </c>
      <c r="M93" s="549"/>
      <c r="N93" s="53"/>
      <c r="O93" s="518"/>
      <c r="P93" s="550"/>
      <c r="Q93" s="493">
        <v>0</v>
      </c>
      <c r="R93" s="549"/>
      <c r="S93" s="53"/>
      <c r="T93" s="518"/>
      <c r="U93" s="550"/>
      <c r="V93" s="493">
        <v>0</v>
      </c>
      <c r="W93" s="549"/>
      <c r="X93" s="53"/>
      <c r="Y93" s="518"/>
      <c r="Z93" s="550"/>
      <c r="AA93" s="493">
        <v>0</v>
      </c>
      <c r="AB93" s="549"/>
      <c r="AC93" s="53"/>
      <c r="AD93" s="518"/>
      <c r="AE93" s="550"/>
      <c r="AF93" s="493">
        <v>0</v>
      </c>
      <c r="AG93" s="549"/>
      <c r="AH93" s="53"/>
      <c r="AI93" s="518"/>
      <c r="AJ93" s="550"/>
      <c r="AK93" s="493">
        <v>0</v>
      </c>
      <c r="AL93" s="549"/>
      <c r="AM93" s="53"/>
      <c r="AN93" s="518"/>
      <c r="AO93" s="550"/>
      <c r="AP93" s="493">
        <v>0</v>
      </c>
      <c r="AQ93" s="549"/>
      <c r="AR93" s="53"/>
      <c r="AS93" s="518"/>
      <c r="AT93" s="550"/>
      <c r="AU93" s="493">
        <v>0</v>
      </c>
      <c r="AV93" s="549"/>
      <c r="AW93" s="53"/>
      <c r="AX93" s="518"/>
      <c r="AY93" s="550"/>
      <c r="AZ93" s="493">
        <v>0</v>
      </c>
      <c r="BA93" s="549"/>
      <c r="BB93" s="53"/>
      <c r="BC93" s="518"/>
      <c r="BD93" s="550"/>
      <c r="BE93" s="493">
        <v>0</v>
      </c>
      <c r="BF93" s="549"/>
      <c r="BG93" s="53"/>
      <c r="BH93" s="518"/>
      <c r="BI93" s="550"/>
      <c r="BJ93" s="493">
        <v>0</v>
      </c>
      <c r="BK93" s="549"/>
      <c r="BL93" s="53"/>
      <c r="BM93" s="518"/>
      <c r="BN93" s="550"/>
      <c r="BO93" s="493">
        <v>0</v>
      </c>
      <c r="BP93" s="549"/>
      <c r="BQ93" s="53"/>
      <c r="BR93" s="518"/>
      <c r="BS93" s="550"/>
      <c r="BT93" s="493">
        <f>SUM(L93:BO93)</f>
        <v>0</v>
      </c>
      <c r="BU93" s="549"/>
      <c r="BV93" s="54"/>
      <c r="BW93" s="465"/>
      <c r="BX93" s="410"/>
      <c r="BY93" s="410"/>
    </row>
    <row r="94" spans="1:77" hidden="1" x14ac:dyDescent="0.2">
      <c r="A94" s="377"/>
      <c r="B94" s="377"/>
      <c r="D94" s="465"/>
      <c r="E94" s="417"/>
      <c r="F94" s="377"/>
      <c r="G94" s="53"/>
      <c r="H94" s="53"/>
      <c r="I94" s="53"/>
      <c r="J94" s="518"/>
      <c r="K94" s="53"/>
      <c r="L94" s="53"/>
      <c r="M94" s="53"/>
      <c r="N94" s="53"/>
      <c r="O94" s="518"/>
      <c r="P94" s="53"/>
      <c r="Q94" s="53"/>
      <c r="R94" s="53"/>
      <c r="S94" s="53"/>
      <c r="T94" s="518"/>
      <c r="U94" s="53"/>
      <c r="V94" s="53"/>
      <c r="W94" s="53"/>
      <c r="X94" s="53"/>
      <c r="Y94" s="518"/>
      <c r="Z94" s="53"/>
      <c r="AA94" s="53"/>
      <c r="AB94" s="53"/>
      <c r="AC94" s="53"/>
      <c r="AD94" s="518"/>
      <c r="AE94" s="53"/>
      <c r="AF94" s="53"/>
      <c r="AG94" s="53"/>
      <c r="AH94" s="53"/>
      <c r="AI94" s="518"/>
      <c r="AJ94" s="53"/>
      <c r="AK94" s="53"/>
      <c r="AL94" s="53"/>
      <c r="AM94" s="53"/>
      <c r="AN94" s="518"/>
      <c r="AO94" s="53"/>
      <c r="AP94" s="53"/>
      <c r="AQ94" s="53"/>
      <c r="AR94" s="53"/>
      <c r="AS94" s="518"/>
      <c r="AT94" s="53"/>
      <c r="AU94" s="53"/>
      <c r="AV94" s="53"/>
      <c r="AW94" s="53"/>
      <c r="AX94" s="518"/>
      <c r="AY94" s="53"/>
      <c r="AZ94" s="53"/>
      <c r="BA94" s="53"/>
      <c r="BB94" s="53"/>
      <c r="BC94" s="518"/>
      <c r="BD94" s="53"/>
      <c r="BE94" s="53"/>
      <c r="BF94" s="53"/>
      <c r="BG94" s="53"/>
      <c r="BH94" s="518"/>
      <c r="BI94" s="53"/>
      <c r="BJ94" s="53"/>
      <c r="BK94" s="53"/>
      <c r="BL94" s="53"/>
      <c r="BM94" s="518"/>
      <c r="BN94" s="53"/>
      <c r="BO94" s="53"/>
      <c r="BP94" s="53"/>
      <c r="BQ94" s="53"/>
      <c r="BR94" s="518"/>
      <c r="BS94" s="53"/>
      <c r="BT94" s="53"/>
      <c r="BU94" s="53"/>
      <c r="BV94" s="54"/>
      <c r="BW94" s="465"/>
      <c r="BX94" s="410"/>
      <c r="BY94" s="410"/>
    </row>
    <row r="95" spans="1:77" ht="12.75" hidden="1" customHeight="1" x14ac:dyDescent="0.2">
      <c r="A95" s="377"/>
      <c r="B95" s="377"/>
      <c r="D95" s="553" t="s">
        <v>443</v>
      </c>
      <c r="E95" s="417"/>
      <c r="F95" s="377"/>
      <c r="G95" s="53">
        <f>SUM(G96:G96)</f>
        <v>0</v>
      </c>
      <c r="H95" s="42"/>
      <c r="I95" s="42"/>
      <c r="J95" s="523"/>
      <c r="K95" s="42"/>
      <c r="L95" s="53">
        <f>SUM(L96:L96)</f>
        <v>0</v>
      </c>
      <c r="M95" s="53"/>
      <c r="N95" s="53"/>
      <c r="O95" s="518"/>
      <c r="P95" s="53"/>
      <c r="Q95" s="53">
        <f>SUM(Q96:Q96)</f>
        <v>0</v>
      </c>
      <c r="R95" s="53"/>
      <c r="S95" s="53"/>
      <c r="T95" s="518"/>
      <c r="U95" s="53"/>
      <c r="V95" s="53">
        <f>SUM(V96:V96)</f>
        <v>0</v>
      </c>
      <c r="W95" s="53"/>
      <c r="X95" s="53"/>
      <c r="Y95" s="518"/>
      <c r="Z95" s="53"/>
      <c r="AA95" s="53">
        <f>SUM(AA96:AA96)</f>
        <v>0</v>
      </c>
      <c r="AB95" s="53"/>
      <c r="AC95" s="53"/>
      <c r="AD95" s="518"/>
      <c r="AE95" s="53"/>
      <c r="AF95" s="53">
        <f>SUM(AF96:AF96)</f>
        <v>0</v>
      </c>
      <c r="AG95" s="53"/>
      <c r="AH95" s="53"/>
      <c r="AI95" s="518"/>
      <c r="AJ95" s="53"/>
      <c r="AK95" s="53">
        <f>SUM(AK96:AK96)</f>
        <v>0</v>
      </c>
      <c r="AL95" s="53"/>
      <c r="AM95" s="53"/>
      <c r="AN95" s="518"/>
      <c r="AO95" s="53"/>
      <c r="AP95" s="53">
        <f>SUM(AP96:AP96)</f>
        <v>0</v>
      </c>
      <c r="AQ95" s="53"/>
      <c r="AR95" s="53"/>
      <c r="AS95" s="518"/>
      <c r="AT95" s="53"/>
      <c r="AU95" s="53">
        <f>SUM(AU96:AU96)</f>
        <v>0</v>
      </c>
      <c r="AV95" s="53"/>
      <c r="AW95" s="53"/>
      <c r="AX95" s="518"/>
      <c r="AY95" s="53"/>
      <c r="AZ95" s="53">
        <f>SUM(AZ96:AZ96)</f>
        <v>0</v>
      </c>
      <c r="BA95" s="53"/>
      <c r="BB95" s="53"/>
      <c r="BC95" s="518"/>
      <c r="BD95" s="53"/>
      <c r="BE95" s="53">
        <f>SUM(BE96:BE96)</f>
        <v>0</v>
      </c>
      <c r="BF95" s="53"/>
      <c r="BG95" s="53"/>
      <c r="BH95" s="518"/>
      <c r="BI95" s="53"/>
      <c r="BJ95" s="53">
        <f>SUM(BJ96:BJ96)</f>
        <v>0</v>
      </c>
      <c r="BK95" s="53"/>
      <c r="BL95" s="53"/>
      <c r="BM95" s="518"/>
      <c r="BN95" s="53"/>
      <c r="BO95" s="53">
        <f>SUM(BO96:BO96)</f>
        <v>0</v>
      </c>
      <c r="BP95" s="53"/>
      <c r="BQ95" s="53"/>
      <c r="BR95" s="518"/>
      <c r="BS95" s="53"/>
      <c r="BT95" s="53">
        <f>SUM(BT96:BT96)</f>
        <v>0</v>
      </c>
      <c r="BU95" s="53"/>
      <c r="BV95" s="54"/>
      <c r="BW95" s="465"/>
      <c r="BX95" s="410"/>
      <c r="BY95" s="410"/>
    </row>
    <row r="96" spans="1:77" ht="12.75" hidden="1" customHeight="1" x14ac:dyDescent="0.2">
      <c r="A96" s="377"/>
      <c r="B96" s="377"/>
      <c r="D96" s="465" t="s">
        <v>378</v>
      </c>
      <c r="E96" s="417"/>
      <c r="F96" s="548"/>
      <c r="G96" s="493">
        <v>0</v>
      </c>
      <c r="H96" s="549"/>
      <c r="I96" s="53"/>
      <c r="J96" s="518"/>
      <c r="K96" s="550"/>
      <c r="L96" s="493">
        <v>0</v>
      </c>
      <c r="M96" s="549"/>
      <c r="N96" s="53"/>
      <c r="O96" s="518"/>
      <c r="P96" s="550"/>
      <c r="Q96" s="493">
        <v>0</v>
      </c>
      <c r="R96" s="549"/>
      <c r="S96" s="53"/>
      <c r="T96" s="518"/>
      <c r="U96" s="550"/>
      <c r="V96" s="493">
        <v>0</v>
      </c>
      <c r="W96" s="549"/>
      <c r="X96" s="53"/>
      <c r="Y96" s="518"/>
      <c r="Z96" s="550"/>
      <c r="AA96" s="493">
        <v>0</v>
      </c>
      <c r="AB96" s="549"/>
      <c r="AC96" s="53"/>
      <c r="AD96" s="518"/>
      <c r="AE96" s="550"/>
      <c r="AF96" s="493">
        <v>0</v>
      </c>
      <c r="AG96" s="549"/>
      <c r="AH96" s="53"/>
      <c r="AI96" s="518"/>
      <c r="AJ96" s="550"/>
      <c r="AK96" s="493">
        <v>0</v>
      </c>
      <c r="AL96" s="549"/>
      <c r="AM96" s="53"/>
      <c r="AN96" s="518"/>
      <c r="AO96" s="550"/>
      <c r="AP96" s="493">
        <v>0</v>
      </c>
      <c r="AQ96" s="549"/>
      <c r="AR96" s="53"/>
      <c r="AS96" s="518"/>
      <c r="AT96" s="550"/>
      <c r="AU96" s="493">
        <v>0</v>
      </c>
      <c r="AV96" s="549"/>
      <c r="AW96" s="53"/>
      <c r="AX96" s="518"/>
      <c r="AY96" s="550"/>
      <c r="AZ96" s="493">
        <v>0</v>
      </c>
      <c r="BA96" s="549"/>
      <c r="BB96" s="53"/>
      <c r="BC96" s="518"/>
      <c r="BD96" s="550"/>
      <c r="BE96" s="493">
        <v>0</v>
      </c>
      <c r="BF96" s="549"/>
      <c r="BG96" s="53"/>
      <c r="BH96" s="518"/>
      <c r="BI96" s="550"/>
      <c r="BJ96" s="493">
        <v>0</v>
      </c>
      <c r="BK96" s="549"/>
      <c r="BL96" s="53"/>
      <c r="BM96" s="518"/>
      <c r="BN96" s="550"/>
      <c r="BO96" s="493">
        <v>0</v>
      </c>
      <c r="BP96" s="549"/>
      <c r="BQ96" s="53"/>
      <c r="BR96" s="518"/>
      <c r="BS96" s="550"/>
      <c r="BT96" s="493">
        <f>SUM(L96:BO96)</f>
        <v>0</v>
      </c>
      <c r="BU96" s="549"/>
      <c r="BV96" s="54"/>
      <c r="BW96" s="465"/>
      <c r="BX96" s="410"/>
      <c r="BY96" s="410"/>
    </row>
    <row r="97" spans="1:77" ht="12.75" customHeight="1" x14ac:dyDescent="0.2">
      <c r="A97" s="377"/>
      <c r="B97" s="377"/>
      <c r="D97" s="465"/>
      <c r="E97" s="417"/>
      <c r="F97" s="377"/>
      <c r="G97" s="53"/>
      <c r="H97" s="53"/>
      <c r="I97" s="53"/>
      <c r="J97" s="518"/>
      <c r="K97" s="53"/>
      <c r="L97" s="53"/>
      <c r="M97" s="53"/>
      <c r="N97" s="53"/>
      <c r="O97" s="518"/>
      <c r="P97" s="53"/>
      <c r="Q97" s="53"/>
      <c r="R97" s="53"/>
      <c r="S97" s="53"/>
      <c r="T97" s="518"/>
      <c r="U97" s="53"/>
      <c r="V97" s="53"/>
      <c r="W97" s="53"/>
      <c r="X97" s="53"/>
      <c r="Y97" s="518"/>
      <c r="Z97" s="53"/>
      <c r="AA97" s="53"/>
      <c r="AB97" s="53"/>
      <c r="AC97" s="53"/>
      <c r="AD97" s="518"/>
      <c r="AE97" s="53"/>
      <c r="AF97" s="53"/>
      <c r="AG97" s="53"/>
      <c r="AH97" s="53"/>
      <c r="AI97" s="518"/>
      <c r="AJ97" s="53"/>
      <c r="AK97" s="53"/>
      <c r="AL97" s="53"/>
      <c r="AM97" s="53"/>
      <c r="AN97" s="518"/>
      <c r="AO97" s="53"/>
      <c r="AP97" s="53"/>
      <c r="AQ97" s="53"/>
      <c r="AR97" s="53"/>
      <c r="AS97" s="518"/>
      <c r="AT97" s="53"/>
      <c r="AU97" s="53"/>
      <c r="AV97" s="53"/>
      <c r="AW97" s="53"/>
      <c r="AX97" s="518"/>
      <c r="AY97" s="53"/>
      <c r="AZ97" s="53"/>
      <c r="BA97" s="53"/>
      <c r="BB97" s="53"/>
      <c r="BC97" s="518"/>
      <c r="BD97" s="53"/>
      <c r="BE97" s="53"/>
      <c r="BF97" s="53"/>
      <c r="BG97" s="53"/>
      <c r="BH97" s="518"/>
      <c r="BI97" s="53"/>
      <c r="BJ97" s="53"/>
      <c r="BK97" s="53"/>
      <c r="BL97" s="53"/>
      <c r="BM97" s="518"/>
      <c r="BN97" s="53"/>
      <c r="BO97" s="53"/>
      <c r="BP97" s="53"/>
      <c r="BQ97" s="53"/>
      <c r="BR97" s="518"/>
      <c r="BS97" s="53"/>
      <c r="BT97" s="53"/>
      <c r="BU97" s="53"/>
      <c r="BV97" s="54"/>
      <c r="BW97" s="465"/>
      <c r="BX97" s="410"/>
      <c r="BY97" s="410"/>
    </row>
    <row r="98" spans="1:77" ht="12.75" customHeight="1" x14ac:dyDescent="0.2">
      <c r="A98" s="377"/>
      <c r="B98" s="377"/>
      <c r="D98" s="553" t="s">
        <v>442</v>
      </c>
      <c r="E98" s="417"/>
      <c r="F98" s="377"/>
      <c r="G98" s="53">
        <f>SUM(G99:G99)</f>
        <v>0</v>
      </c>
      <c r="H98" s="53"/>
      <c r="I98" s="53"/>
      <c r="J98" s="518"/>
      <c r="K98" s="53"/>
      <c r="L98" s="53">
        <f>SUM(L99:L99)</f>
        <v>0</v>
      </c>
      <c r="M98" s="53"/>
      <c r="N98" s="53"/>
      <c r="O98" s="518"/>
      <c r="P98" s="53"/>
      <c r="Q98" s="53">
        <f>SUM(Q99:Q99)</f>
        <v>0</v>
      </c>
      <c r="R98" s="53"/>
      <c r="S98" s="53"/>
      <c r="T98" s="518"/>
      <c r="U98" s="53"/>
      <c r="V98" s="53">
        <f>SUM(V99:V99)</f>
        <v>0</v>
      </c>
      <c r="W98" s="53"/>
      <c r="X98" s="53"/>
      <c r="Y98" s="518"/>
      <c r="Z98" s="53"/>
      <c r="AA98" s="53">
        <f>SUM(AA99:AA99)</f>
        <v>0</v>
      </c>
      <c r="AB98" s="53"/>
      <c r="AC98" s="53"/>
      <c r="AD98" s="518"/>
      <c r="AE98" s="53"/>
      <c r="AF98" s="53">
        <f>SUM(AF99:AF99)</f>
        <v>41191</v>
      </c>
      <c r="AG98" s="53"/>
      <c r="AH98" s="53"/>
      <c r="AI98" s="518"/>
      <c r="AJ98" s="53"/>
      <c r="AK98" s="53">
        <f>SUM(AK99:AK99)</f>
        <v>0</v>
      </c>
      <c r="AL98" s="53"/>
      <c r="AM98" s="53"/>
      <c r="AN98" s="518"/>
      <c r="AO98" s="53"/>
      <c r="AP98" s="53">
        <f>SUM(AP99:AP99)</f>
        <v>0</v>
      </c>
      <c r="AQ98" s="53"/>
      <c r="AR98" s="53"/>
      <c r="AS98" s="518"/>
      <c r="AT98" s="53"/>
      <c r="AU98" s="53">
        <f>SUM(AU99:AU99)</f>
        <v>0</v>
      </c>
      <c r="AV98" s="53"/>
      <c r="AW98" s="53"/>
      <c r="AX98" s="518"/>
      <c r="AY98" s="53"/>
      <c r="AZ98" s="53">
        <f>SUM(AZ99:AZ99)</f>
        <v>0</v>
      </c>
      <c r="BA98" s="53"/>
      <c r="BB98" s="53"/>
      <c r="BC98" s="518"/>
      <c r="BD98" s="53"/>
      <c r="BE98" s="53">
        <f>SUM(BE99:BE99)</f>
        <v>0</v>
      </c>
      <c r="BF98" s="53"/>
      <c r="BG98" s="53"/>
      <c r="BH98" s="518"/>
      <c r="BI98" s="53"/>
      <c r="BJ98" s="53">
        <f>SUM(BJ99:BJ99)</f>
        <v>0</v>
      </c>
      <c r="BK98" s="53"/>
      <c r="BL98" s="53"/>
      <c r="BM98" s="518"/>
      <c r="BN98" s="53"/>
      <c r="BO98" s="53">
        <f>SUM(BO99:BO99)</f>
        <v>0</v>
      </c>
      <c r="BP98" s="53"/>
      <c r="BQ98" s="53"/>
      <c r="BR98" s="518"/>
      <c r="BS98" s="53"/>
      <c r="BT98" s="53">
        <f>SUM(BT99:BT99)</f>
        <v>41191</v>
      </c>
      <c r="BU98" s="53"/>
      <c r="BV98" s="54"/>
      <c r="BW98" s="465"/>
      <c r="BX98" s="410"/>
      <c r="BY98" s="410"/>
    </row>
    <row r="99" spans="1:77" ht="12.75" customHeight="1" x14ac:dyDescent="0.2">
      <c r="A99" s="377"/>
      <c r="B99" s="377"/>
      <c r="D99" s="465" t="s">
        <v>378</v>
      </c>
      <c r="E99" s="417"/>
      <c r="F99" s="548"/>
      <c r="G99" s="493">
        <v>0</v>
      </c>
      <c r="H99" s="549"/>
      <c r="I99" s="53"/>
      <c r="J99" s="518"/>
      <c r="K99" s="550"/>
      <c r="L99" s="493">
        <v>0</v>
      </c>
      <c r="M99" s="549"/>
      <c r="N99" s="53"/>
      <c r="O99" s="518"/>
      <c r="P99" s="550"/>
      <c r="Q99" s="493">
        <v>0</v>
      </c>
      <c r="R99" s="549"/>
      <c r="S99" s="53"/>
      <c r="T99" s="518"/>
      <c r="U99" s="550"/>
      <c r="V99" s="493">
        <v>0</v>
      </c>
      <c r="W99" s="549"/>
      <c r="X99" s="53"/>
      <c r="Y99" s="518"/>
      <c r="Z99" s="550"/>
      <c r="AA99" s="493">
        <v>0</v>
      </c>
      <c r="AB99" s="549"/>
      <c r="AC99" s="53"/>
      <c r="AD99" s="518"/>
      <c r="AE99" s="550"/>
      <c r="AF99" s="493">
        <v>41191</v>
      </c>
      <c r="AG99" s="549"/>
      <c r="AH99" s="53"/>
      <c r="AI99" s="518"/>
      <c r="AJ99" s="550"/>
      <c r="AK99" s="493">
        <v>0</v>
      </c>
      <c r="AL99" s="549"/>
      <c r="AM99" s="53"/>
      <c r="AN99" s="518"/>
      <c r="AO99" s="550"/>
      <c r="AP99" s="493">
        <v>0</v>
      </c>
      <c r="AQ99" s="549"/>
      <c r="AR99" s="53"/>
      <c r="AS99" s="518"/>
      <c r="AT99" s="550"/>
      <c r="AU99" s="493">
        <v>0</v>
      </c>
      <c r="AV99" s="549"/>
      <c r="AW99" s="53"/>
      <c r="AX99" s="518"/>
      <c r="AY99" s="550"/>
      <c r="AZ99" s="493">
        <v>0</v>
      </c>
      <c r="BA99" s="549"/>
      <c r="BB99" s="53"/>
      <c r="BC99" s="518"/>
      <c r="BD99" s="550"/>
      <c r="BE99" s="493">
        <v>0</v>
      </c>
      <c r="BF99" s="549"/>
      <c r="BG99" s="53"/>
      <c r="BH99" s="518"/>
      <c r="BI99" s="550"/>
      <c r="BJ99" s="493">
        <v>0</v>
      </c>
      <c r="BK99" s="549"/>
      <c r="BL99" s="53"/>
      <c r="BM99" s="518"/>
      <c r="BN99" s="550"/>
      <c r="BO99" s="493">
        <v>0</v>
      </c>
      <c r="BP99" s="549"/>
      <c r="BQ99" s="53"/>
      <c r="BR99" s="518"/>
      <c r="BS99" s="550"/>
      <c r="BT99" s="493">
        <f>SUM(L99:BO99)</f>
        <v>41191</v>
      </c>
      <c r="BU99" s="549"/>
      <c r="BV99" s="54"/>
      <c r="BW99" s="465"/>
      <c r="BX99" s="410"/>
      <c r="BY99" s="410"/>
    </row>
    <row r="100" spans="1:77" ht="12.75" hidden="1" customHeight="1" x14ac:dyDescent="0.2">
      <c r="A100" s="377"/>
      <c r="B100" s="377"/>
      <c r="D100" s="465"/>
      <c r="E100" s="417"/>
      <c r="F100" s="377"/>
      <c r="G100" s="53"/>
      <c r="H100" s="53"/>
      <c r="I100" s="53"/>
      <c r="J100" s="518"/>
      <c r="K100" s="53"/>
      <c r="L100" s="53"/>
      <c r="M100" s="53"/>
      <c r="N100" s="53"/>
      <c r="O100" s="518"/>
      <c r="P100" s="53"/>
      <c r="Q100" s="53"/>
      <c r="R100" s="53"/>
      <c r="S100" s="53"/>
      <c r="T100" s="518"/>
      <c r="U100" s="53"/>
      <c r="V100" s="53"/>
      <c r="W100" s="53"/>
      <c r="X100" s="53"/>
      <c r="Y100" s="518"/>
      <c r="Z100" s="53"/>
      <c r="AA100" s="53"/>
      <c r="AB100" s="53"/>
      <c r="AC100" s="53"/>
      <c r="AD100" s="518"/>
      <c r="AE100" s="53"/>
      <c r="AF100" s="53"/>
      <c r="AG100" s="53"/>
      <c r="AH100" s="53"/>
      <c r="AI100" s="518"/>
      <c r="AJ100" s="53"/>
      <c r="AK100" s="53"/>
      <c r="AL100" s="53"/>
      <c r="AM100" s="53"/>
      <c r="AN100" s="518"/>
      <c r="AO100" s="53"/>
      <c r="AP100" s="53"/>
      <c r="AQ100" s="53"/>
      <c r="AR100" s="53"/>
      <c r="AS100" s="518"/>
      <c r="AT100" s="53"/>
      <c r="AU100" s="53"/>
      <c r="AV100" s="53"/>
      <c r="AW100" s="53"/>
      <c r="AX100" s="518"/>
      <c r="AY100" s="53"/>
      <c r="AZ100" s="53"/>
      <c r="BA100" s="53"/>
      <c r="BB100" s="53"/>
      <c r="BC100" s="518"/>
      <c r="BD100" s="53"/>
      <c r="BE100" s="53"/>
      <c r="BF100" s="53"/>
      <c r="BG100" s="53"/>
      <c r="BH100" s="518"/>
      <c r="BI100" s="53"/>
      <c r="BJ100" s="53"/>
      <c r="BK100" s="53"/>
      <c r="BL100" s="53"/>
      <c r="BM100" s="518"/>
      <c r="BN100" s="53"/>
      <c r="BO100" s="53"/>
      <c r="BP100" s="53"/>
      <c r="BQ100" s="53"/>
      <c r="BR100" s="518"/>
      <c r="BS100" s="53"/>
      <c r="BT100" s="53"/>
      <c r="BU100" s="53"/>
      <c r="BV100" s="54"/>
      <c r="BW100" s="465"/>
      <c r="BX100" s="410"/>
      <c r="BY100" s="410"/>
    </row>
    <row r="101" spans="1:77" ht="12.75" hidden="1" customHeight="1" x14ac:dyDescent="0.2">
      <c r="A101" s="377"/>
      <c r="B101" s="377"/>
      <c r="D101" s="553" t="s">
        <v>398</v>
      </c>
      <c r="E101" s="417"/>
      <c r="F101" s="377"/>
      <c r="G101" s="53">
        <f>SUM(G102:G102)</f>
        <v>0</v>
      </c>
      <c r="H101" s="53"/>
      <c r="I101" s="53"/>
      <c r="J101" s="518"/>
      <c r="K101" s="53"/>
      <c r="L101" s="53">
        <f>SUM(L102:L102)</f>
        <v>0</v>
      </c>
      <c r="M101" s="53"/>
      <c r="N101" s="53"/>
      <c r="O101" s="518"/>
      <c r="P101" s="53"/>
      <c r="Q101" s="53">
        <f>SUM(Q102:Q102)</f>
        <v>0</v>
      </c>
      <c r="R101" s="53"/>
      <c r="S101" s="53"/>
      <c r="T101" s="518"/>
      <c r="U101" s="53"/>
      <c r="V101" s="53">
        <f>SUM(V102:V102)</f>
        <v>0</v>
      </c>
      <c r="W101" s="53"/>
      <c r="X101" s="53"/>
      <c r="Y101" s="518"/>
      <c r="Z101" s="53"/>
      <c r="AA101" s="53">
        <f>SUM(AA102:AA102)</f>
        <v>0</v>
      </c>
      <c r="AB101" s="53"/>
      <c r="AC101" s="53"/>
      <c r="AD101" s="518"/>
      <c r="AE101" s="53"/>
      <c r="AF101" s="53">
        <f>SUM(AF102:AF102)</f>
        <v>0</v>
      </c>
      <c r="AG101" s="53"/>
      <c r="AH101" s="53"/>
      <c r="AI101" s="518"/>
      <c r="AJ101" s="53"/>
      <c r="AK101" s="53">
        <f>SUM(AK102:AK102)</f>
        <v>0</v>
      </c>
      <c r="AL101" s="53"/>
      <c r="AM101" s="53"/>
      <c r="AN101" s="518"/>
      <c r="AO101" s="53"/>
      <c r="AP101" s="53">
        <f>SUM(AP102:AP102)</f>
        <v>0</v>
      </c>
      <c r="AQ101" s="53"/>
      <c r="AR101" s="53"/>
      <c r="AS101" s="518"/>
      <c r="AT101" s="53"/>
      <c r="AU101" s="53">
        <f>SUM(AU102:AU102)</f>
        <v>0</v>
      </c>
      <c r="AV101" s="53"/>
      <c r="AW101" s="53"/>
      <c r="AX101" s="518"/>
      <c r="AY101" s="53"/>
      <c r="AZ101" s="53">
        <f>SUM(AZ102:AZ102)</f>
        <v>0</v>
      </c>
      <c r="BA101" s="53"/>
      <c r="BB101" s="53"/>
      <c r="BC101" s="518"/>
      <c r="BD101" s="53"/>
      <c r="BE101" s="53">
        <f>SUM(BE102:BE102)</f>
        <v>0</v>
      </c>
      <c r="BF101" s="53"/>
      <c r="BG101" s="53"/>
      <c r="BH101" s="518"/>
      <c r="BI101" s="53"/>
      <c r="BJ101" s="53">
        <f>SUM(BJ102:BJ102)</f>
        <v>0</v>
      </c>
      <c r="BK101" s="53"/>
      <c r="BL101" s="53"/>
      <c r="BM101" s="518"/>
      <c r="BN101" s="53"/>
      <c r="BO101" s="53">
        <f>SUM(BO102:BO102)</f>
        <v>0</v>
      </c>
      <c r="BP101" s="53"/>
      <c r="BQ101" s="53"/>
      <c r="BR101" s="518"/>
      <c r="BS101" s="53"/>
      <c r="BT101" s="53">
        <f>SUM(BT102:BT102)</f>
        <v>0</v>
      </c>
      <c r="BU101" s="53"/>
      <c r="BV101" s="54"/>
      <c r="BW101" s="465"/>
      <c r="BX101" s="410"/>
      <c r="BY101" s="410"/>
    </row>
    <row r="102" spans="1:77" ht="12.75" hidden="1" customHeight="1" x14ac:dyDescent="0.2">
      <c r="A102" s="377"/>
      <c r="B102" s="377"/>
      <c r="D102" s="465" t="s">
        <v>378</v>
      </c>
      <c r="E102" s="417"/>
      <c r="F102" s="548"/>
      <c r="G102" s="493">
        <v>0</v>
      </c>
      <c r="H102" s="549"/>
      <c r="I102" s="53"/>
      <c r="J102" s="518"/>
      <c r="K102" s="550"/>
      <c r="L102" s="493">
        <v>0</v>
      </c>
      <c r="M102" s="549"/>
      <c r="N102" s="53"/>
      <c r="O102" s="518"/>
      <c r="P102" s="550"/>
      <c r="Q102" s="493">
        <v>0</v>
      </c>
      <c r="R102" s="549"/>
      <c r="S102" s="53"/>
      <c r="T102" s="518"/>
      <c r="U102" s="550"/>
      <c r="V102" s="493">
        <v>0</v>
      </c>
      <c r="W102" s="549"/>
      <c r="X102" s="53"/>
      <c r="Y102" s="518"/>
      <c r="Z102" s="550"/>
      <c r="AA102" s="493">
        <v>0</v>
      </c>
      <c r="AB102" s="549"/>
      <c r="AC102" s="53"/>
      <c r="AD102" s="518"/>
      <c r="AE102" s="550"/>
      <c r="AF102" s="493">
        <v>0</v>
      </c>
      <c r="AG102" s="549"/>
      <c r="AH102" s="53"/>
      <c r="AI102" s="518"/>
      <c r="AJ102" s="550"/>
      <c r="AK102" s="493">
        <v>0</v>
      </c>
      <c r="AL102" s="549"/>
      <c r="AM102" s="53"/>
      <c r="AN102" s="518"/>
      <c r="AO102" s="550"/>
      <c r="AP102" s="493">
        <v>0</v>
      </c>
      <c r="AQ102" s="549"/>
      <c r="AR102" s="53"/>
      <c r="AS102" s="518"/>
      <c r="AT102" s="550"/>
      <c r="AU102" s="493">
        <v>0</v>
      </c>
      <c r="AV102" s="549"/>
      <c r="AW102" s="53"/>
      <c r="AX102" s="518"/>
      <c r="AY102" s="550"/>
      <c r="AZ102" s="493">
        <v>0</v>
      </c>
      <c r="BA102" s="549"/>
      <c r="BB102" s="53"/>
      <c r="BC102" s="518"/>
      <c r="BD102" s="550"/>
      <c r="BE102" s="493">
        <v>0</v>
      </c>
      <c r="BF102" s="549"/>
      <c r="BG102" s="53"/>
      <c r="BH102" s="518"/>
      <c r="BI102" s="550"/>
      <c r="BJ102" s="493">
        <v>0</v>
      </c>
      <c r="BK102" s="549"/>
      <c r="BL102" s="53"/>
      <c r="BM102" s="518"/>
      <c r="BN102" s="550"/>
      <c r="BO102" s="493">
        <v>0</v>
      </c>
      <c r="BP102" s="549"/>
      <c r="BQ102" s="53"/>
      <c r="BR102" s="518"/>
      <c r="BS102" s="550"/>
      <c r="BT102" s="493">
        <f>SUM(L102:BO102)</f>
        <v>0</v>
      </c>
      <c r="BU102" s="549"/>
      <c r="BV102" s="54"/>
      <c r="BW102" s="465"/>
      <c r="BX102" s="410"/>
      <c r="BY102" s="410"/>
    </row>
    <row r="103" spans="1:77" ht="12.75" customHeight="1" x14ac:dyDescent="0.2">
      <c r="A103" s="377"/>
      <c r="B103" s="377"/>
      <c r="D103" s="465"/>
      <c r="E103" s="417"/>
      <c r="F103" s="377"/>
      <c r="G103" s="53"/>
      <c r="H103" s="53"/>
      <c r="I103" s="53"/>
      <c r="J103" s="518"/>
      <c r="K103" s="53"/>
      <c r="L103" s="53"/>
      <c r="M103" s="53"/>
      <c r="N103" s="53"/>
      <c r="O103" s="518"/>
      <c r="P103" s="53"/>
      <c r="Q103" s="53"/>
      <c r="R103" s="53"/>
      <c r="S103" s="53"/>
      <c r="T103" s="518"/>
      <c r="U103" s="53"/>
      <c r="V103" s="53"/>
      <c r="W103" s="53"/>
      <c r="X103" s="53"/>
      <c r="Y103" s="518"/>
      <c r="Z103" s="53"/>
      <c r="AA103" s="53"/>
      <c r="AB103" s="53"/>
      <c r="AC103" s="53"/>
      <c r="AD103" s="518"/>
      <c r="AE103" s="53"/>
      <c r="AF103" s="53"/>
      <c r="AG103" s="53"/>
      <c r="AH103" s="53"/>
      <c r="AI103" s="518"/>
      <c r="AJ103" s="53"/>
      <c r="AK103" s="53"/>
      <c r="AL103" s="53"/>
      <c r="AM103" s="53"/>
      <c r="AN103" s="518"/>
      <c r="AO103" s="53"/>
      <c r="AP103" s="53"/>
      <c r="AQ103" s="53"/>
      <c r="AR103" s="53"/>
      <c r="AS103" s="518"/>
      <c r="AT103" s="53"/>
      <c r="AU103" s="53"/>
      <c r="AV103" s="53"/>
      <c r="AW103" s="53"/>
      <c r="AX103" s="518"/>
      <c r="AY103" s="53"/>
      <c r="AZ103" s="53"/>
      <c r="BA103" s="53"/>
      <c r="BB103" s="53"/>
      <c r="BC103" s="518"/>
      <c r="BD103" s="53"/>
      <c r="BE103" s="53"/>
      <c r="BF103" s="53"/>
      <c r="BG103" s="53"/>
      <c r="BH103" s="518"/>
      <c r="BI103" s="53"/>
      <c r="BJ103" s="53"/>
      <c r="BK103" s="53"/>
      <c r="BL103" s="53"/>
      <c r="BM103" s="518"/>
      <c r="BN103" s="53"/>
      <c r="BO103" s="53"/>
      <c r="BP103" s="53"/>
      <c r="BQ103" s="53"/>
      <c r="BR103" s="518"/>
      <c r="BS103" s="53"/>
      <c r="BT103" s="53"/>
      <c r="BU103" s="53"/>
      <c r="BV103" s="54"/>
      <c r="BW103" s="465"/>
      <c r="BX103" s="410"/>
      <c r="BY103" s="410"/>
    </row>
    <row r="104" spans="1:77" x14ac:dyDescent="0.2">
      <c r="A104" s="377"/>
      <c r="B104" s="377"/>
      <c r="D104" s="465" t="s">
        <v>399</v>
      </c>
      <c r="E104" s="417"/>
      <c r="F104" s="377"/>
      <c r="G104" s="53">
        <f>SUM(G105:G105)</f>
        <v>0</v>
      </c>
      <c r="H104" s="53"/>
      <c r="I104" s="53"/>
      <c r="J104" s="518"/>
      <c r="K104" s="377"/>
      <c r="L104" s="53">
        <f>SUM(L105:L105)</f>
        <v>0</v>
      </c>
      <c r="M104" s="53"/>
      <c r="N104" s="53"/>
      <c r="O104" s="518"/>
      <c r="P104" s="53"/>
      <c r="Q104" s="53">
        <f>SUM(Q105:Q105)</f>
        <v>0</v>
      </c>
      <c r="R104" s="53"/>
      <c r="S104" s="53"/>
      <c r="T104" s="518"/>
      <c r="U104" s="53"/>
      <c r="V104" s="53">
        <f>SUM(V105:V105)</f>
        <v>0</v>
      </c>
      <c r="W104" s="53"/>
      <c r="X104" s="53"/>
      <c r="Y104" s="518"/>
      <c r="Z104" s="53"/>
      <c r="AA104" s="53">
        <f>SUM(AA105:AA105)</f>
        <v>0</v>
      </c>
      <c r="AB104" s="53"/>
      <c r="AC104" s="53"/>
      <c r="AD104" s="518"/>
      <c r="AE104" s="53"/>
      <c r="AF104" s="53">
        <f>SUM(AF105:AF105)</f>
        <v>0</v>
      </c>
      <c r="AG104" s="53"/>
      <c r="AH104" s="53"/>
      <c r="AI104" s="518"/>
      <c r="AJ104" s="53"/>
      <c r="AK104" s="53">
        <f>SUM(AK105:AK105)</f>
        <v>0</v>
      </c>
      <c r="AL104" s="53"/>
      <c r="AM104" s="53"/>
      <c r="AN104" s="518"/>
      <c r="AO104" s="53"/>
      <c r="AP104" s="53">
        <f>SUM(AP105:AP105)</f>
        <v>0</v>
      </c>
      <c r="AQ104" s="53"/>
      <c r="AR104" s="53"/>
      <c r="AS104" s="518"/>
      <c r="AT104" s="53"/>
      <c r="AU104" s="53">
        <f>SUM(AU105:AU105)</f>
        <v>0</v>
      </c>
      <c r="AV104" s="53"/>
      <c r="AW104" s="53"/>
      <c r="AX104" s="518"/>
      <c r="AY104" s="53"/>
      <c r="AZ104" s="53">
        <f>SUM(AZ105:AZ105)</f>
        <v>0</v>
      </c>
      <c r="BA104" s="53"/>
      <c r="BB104" s="53"/>
      <c r="BC104" s="518"/>
      <c r="BD104" s="53"/>
      <c r="BE104" s="53">
        <f>SUM(BE105:BE105)</f>
        <v>0</v>
      </c>
      <c r="BF104" s="53"/>
      <c r="BG104" s="53"/>
      <c r="BH104" s="518"/>
      <c r="BI104" s="53"/>
      <c r="BJ104" s="53">
        <f>SUM(BJ105:BJ105)</f>
        <v>0</v>
      </c>
      <c r="BK104" s="53"/>
      <c r="BL104" s="53"/>
      <c r="BM104" s="518"/>
      <c r="BN104" s="53"/>
      <c r="BO104" s="53">
        <f>SUM(BO105:BO105)</f>
        <v>0</v>
      </c>
      <c r="BP104" s="53"/>
      <c r="BQ104" s="53"/>
      <c r="BR104" s="518"/>
      <c r="BS104" s="377"/>
      <c r="BT104" s="53">
        <f>SUM(BT105:BT105)</f>
        <v>0</v>
      </c>
      <c r="BU104" s="53"/>
      <c r="BV104" s="54"/>
      <c r="BW104" s="465"/>
      <c r="BX104" s="410"/>
      <c r="BY104" s="410"/>
    </row>
    <row r="105" spans="1:77" x14ac:dyDescent="0.2">
      <c r="A105" s="377"/>
      <c r="B105" s="377"/>
      <c r="D105" s="465" t="s">
        <v>378</v>
      </c>
      <c r="E105" s="417"/>
      <c r="F105" s="548"/>
      <c r="G105" s="493">
        <v>0</v>
      </c>
      <c r="H105" s="549"/>
      <c r="I105" s="53"/>
      <c r="J105" s="518"/>
      <c r="K105" s="548"/>
      <c r="L105" s="493">
        <v>0</v>
      </c>
      <c r="M105" s="549"/>
      <c r="N105" s="53"/>
      <c r="O105" s="518"/>
      <c r="P105" s="550"/>
      <c r="Q105" s="493">
        <v>0</v>
      </c>
      <c r="R105" s="549"/>
      <c r="S105" s="53"/>
      <c r="T105" s="518"/>
      <c r="U105" s="550"/>
      <c r="V105" s="493">
        <v>0</v>
      </c>
      <c r="W105" s="549"/>
      <c r="X105" s="53"/>
      <c r="Y105" s="518"/>
      <c r="Z105" s="550"/>
      <c r="AA105" s="493">
        <v>0</v>
      </c>
      <c r="AB105" s="549"/>
      <c r="AC105" s="53"/>
      <c r="AD105" s="518"/>
      <c r="AE105" s="550"/>
      <c r="AF105" s="493">
        <v>0</v>
      </c>
      <c r="AG105" s="549"/>
      <c r="AH105" s="53"/>
      <c r="AI105" s="518"/>
      <c r="AJ105" s="550"/>
      <c r="AK105" s="493">
        <v>0</v>
      </c>
      <c r="AL105" s="549"/>
      <c r="AM105" s="53"/>
      <c r="AN105" s="518"/>
      <c r="AO105" s="550"/>
      <c r="AP105" s="493">
        <v>0</v>
      </c>
      <c r="AQ105" s="549"/>
      <c r="AR105" s="53"/>
      <c r="AS105" s="518"/>
      <c r="AT105" s="550"/>
      <c r="AU105" s="493">
        <v>0</v>
      </c>
      <c r="AV105" s="549"/>
      <c r="AW105" s="53"/>
      <c r="AX105" s="518"/>
      <c r="AY105" s="550"/>
      <c r="AZ105" s="493">
        <v>0</v>
      </c>
      <c r="BA105" s="549"/>
      <c r="BB105" s="53"/>
      <c r="BC105" s="518"/>
      <c r="BD105" s="550"/>
      <c r="BE105" s="493">
        <v>0</v>
      </c>
      <c r="BF105" s="549"/>
      <c r="BG105" s="53"/>
      <c r="BH105" s="518"/>
      <c r="BI105" s="550"/>
      <c r="BJ105" s="493">
        <v>0</v>
      </c>
      <c r="BK105" s="549"/>
      <c r="BL105" s="53"/>
      <c r="BM105" s="518"/>
      <c r="BN105" s="550"/>
      <c r="BO105" s="493">
        <v>0</v>
      </c>
      <c r="BP105" s="549"/>
      <c r="BQ105" s="53"/>
      <c r="BR105" s="518"/>
      <c r="BS105" s="550"/>
      <c r="BT105" s="493">
        <f>SUM(L105:BO105)</f>
        <v>0</v>
      </c>
      <c r="BU105" s="549"/>
      <c r="BV105" s="54"/>
      <c r="BW105" s="465"/>
      <c r="BX105" s="410"/>
      <c r="BY105" s="410"/>
    </row>
    <row r="106" spans="1:77" ht="12.75" customHeight="1" x14ac:dyDescent="0.2">
      <c r="A106" s="377"/>
      <c r="B106" s="377"/>
      <c r="D106" s="465"/>
      <c r="E106" s="417"/>
      <c r="F106" s="377"/>
      <c r="G106" s="53"/>
      <c r="H106" s="53"/>
      <c r="I106" s="53"/>
      <c r="J106" s="518"/>
      <c r="K106" s="53"/>
      <c r="L106" s="53"/>
      <c r="M106" s="53"/>
      <c r="N106" s="53"/>
      <c r="O106" s="518"/>
      <c r="P106" s="53"/>
      <c r="Q106" s="53"/>
      <c r="R106" s="53"/>
      <c r="S106" s="53"/>
      <c r="T106" s="518"/>
      <c r="U106" s="53"/>
      <c r="V106" s="53"/>
      <c r="W106" s="53"/>
      <c r="X106" s="53"/>
      <c r="Y106" s="518"/>
      <c r="Z106" s="53"/>
      <c r="AA106" s="53"/>
      <c r="AB106" s="53"/>
      <c r="AC106" s="53"/>
      <c r="AD106" s="518"/>
      <c r="AE106" s="53"/>
      <c r="AF106" s="53"/>
      <c r="AG106" s="53"/>
      <c r="AH106" s="53"/>
      <c r="AI106" s="518"/>
      <c r="AJ106" s="53"/>
      <c r="AK106" s="53"/>
      <c r="AL106" s="53"/>
      <c r="AM106" s="53"/>
      <c r="AN106" s="518"/>
      <c r="AO106" s="53"/>
      <c r="AP106" s="53"/>
      <c r="AQ106" s="53"/>
      <c r="AR106" s="53"/>
      <c r="AS106" s="518"/>
      <c r="AT106" s="53"/>
      <c r="AU106" s="53"/>
      <c r="AV106" s="53"/>
      <c r="AW106" s="53"/>
      <c r="AX106" s="518"/>
      <c r="AY106" s="53"/>
      <c r="AZ106" s="53"/>
      <c r="BA106" s="53"/>
      <c r="BB106" s="53"/>
      <c r="BC106" s="518"/>
      <c r="BD106" s="53"/>
      <c r="BE106" s="53"/>
      <c r="BF106" s="53"/>
      <c r="BG106" s="53"/>
      <c r="BH106" s="518"/>
      <c r="BI106" s="53"/>
      <c r="BJ106" s="53"/>
      <c r="BK106" s="53"/>
      <c r="BL106" s="53"/>
      <c r="BM106" s="518"/>
      <c r="BN106" s="53"/>
      <c r="BO106" s="53"/>
      <c r="BP106" s="53"/>
      <c r="BQ106" s="53"/>
      <c r="BR106" s="518"/>
      <c r="BS106" s="53"/>
      <c r="BT106" s="53"/>
      <c r="BU106" s="53"/>
      <c r="BV106" s="54"/>
      <c r="BW106" s="465"/>
      <c r="BX106" s="410"/>
      <c r="BY106" s="410"/>
    </row>
    <row r="107" spans="1:77" ht="12.75" customHeight="1" x14ac:dyDescent="0.2">
      <c r="A107" s="377"/>
      <c r="B107" s="377"/>
      <c r="D107" s="465" t="str">
        <f>[18]domlongtermissues!D338</f>
        <v xml:space="preserve">  R209  (6.25%  2036/03/31)</v>
      </c>
      <c r="E107" s="417"/>
      <c r="F107" s="377"/>
      <c r="G107" s="53">
        <f>SUM(G108:G108)</f>
        <v>0</v>
      </c>
      <c r="H107" s="53"/>
      <c r="I107" s="53"/>
      <c r="J107" s="518"/>
      <c r="K107" s="53"/>
      <c r="L107" s="53">
        <f>SUM(L108:L108)</f>
        <v>0</v>
      </c>
      <c r="M107" s="53"/>
      <c r="N107" s="53"/>
      <c r="O107" s="518"/>
      <c r="P107" s="53"/>
      <c r="Q107" s="53">
        <f>SUM(Q108:Q108)</f>
        <v>0</v>
      </c>
      <c r="R107" s="53"/>
      <c r="S107" s="53"/>
      <c r="T107" s="518"/>
      <c r="U107" s="53"/>
      <c r="V107" s="53">
        <f>SUM(V108:V108)</f>
        <v>0</v>
      </c>
      <c r="W107" s="53"/>
      <c r="X107" s="53"/>
      <c r="Y107" s="518"/>
      <c r="Z107" s="53"/>
      <c r="AA107" s="53">
        <f>SUM(AA108:AA108)</f>
        <v>0</v>
      </c>
      <c r="AB107" s="53"/>
      <c r="AC107" s="53"/>
      <c r="AD107" s="518"/>
      <c r="AE107" s="53"/>
      <c r="AF107" s="53">
        <f>SUM(AF108:AF108)</f>
        <v>0</v>
      </c>
      <c r="AG107" s="53"/>
      <c r="AH107" s="53"/>
      <c r="AI107" s="518"/>
      <c r="AJ107" s="53"/>
      <c r="AK107" s="53">
        <f>SUM(AK108:AK108)</f>
        <v>18552</v>
      </c>
      <c r="AL107" s="53"/>
      <c r="AM107" s="53"/>
      <c r="AN107" s="518"/>
      <c r="AO107" s="53"/>
      <c r="AP107" s="53">
        <f>SUM(AP108:AP108)</f>
        <v>0</v>
      </c>
      <c r="AQ107" s="53"/>
      <c r="AR107" s="53"/>
      <c r="AS107" s="518"/>
      <c r="AT107" s="53"/>
      <c r="AU107" s="53">
        <f>SUM(AU108:AU108)</f>
        <v>0</v>
      </c>
      <c r="AV107" s="53"/>
      <c r="AW107" s="53"/>
      <c r="AX107" s="518"/>
      <c r="AY107" s="53"/>
      <c r="AZ107" s="53">
        <f>SUM(AZ108:AZ108)</f>
        <v>0</v>
      </c>
      <c r="BA107" s="53"/>
      <c r="BB107" s="53"/>
      <c r="BC107" s="518"/>
      <c r="BD107" s="53"/>
      <c r="BE107" s="53">
        <f>SUM(BE108:BE108)</f>
        <v>0</v>
      </c>
      <c r="BF107" s="53"/>
      <c r="BG107" s="53"/>
      <c r="BH107" s="518"/>
      <c r="BI107" s="53"/>
      <c r="BJ107" s="53">
        <f>SUM(BJ108:BJ108)</f>
        <v>0</v>
      </c>
      <c r="BK107" s="53"/>
      <c r="BL107" s="53"/>
      <c r="BM107" s="518"/>
      <c r="BN107" s="53"/>
      <c r="BO107" s="53">
        <f>SUM(BO108:BO108)</f>
        <v>0</v>
      </c>
      <c r="BP107" s="53"/>
      <c r="BQ107" s="53"/>
      <c r="BR107" s="518"/>
      <c r="BS107" s="53"/>
      <c r="BT107" s="53">
        <f>SUM(BT108:BT108)</f>
        <v>18552</v>
      </c>
      <c r="BU107" s="53"/>
      <c r="BV107" s="54"/>
      <c r="BW107" s="465"/>
      <c r="BX107" s="410"/>
      <c r="BY107" s="410"/>
    </row>
    <row r="108" spans="1:77" ht="12.75" customHeight="1" x14ac:dyDescent="0.2">
      <c r="A108" s="377"/>
      <c r="B108" s="377"/>
      <c r="D108" s="465" t="s">
        <v>378</v>
      </c>
      <c r="E108" s="417"/>
      <c r="F108" s="548"/>
      <c r="G108" s="493">
        <v>0</v>
      </c>
      <c r="H108" s="549"/>
      <c r="I108" s="53"/>
      <c r="J108" s="518"/>
      <c r="K108" s="548"/>
      <c r="L108" s="493">
        <v>0</v>
      </c>
      <c r="M108" s="549"/>
      <c r="N108" s="53"/>
      <c r="O108" s="518"/>
      <c r="P108" s="548"/>
      <c r="Q108" s="493">
        <v>0</v>
      </c>
      <c r="R108" s="549"/>
      <c r="S108" s="53"/>
      <c r="T108" s="518"/>
      <c r="U108" s="548"/>
      <c r="V108" s="493">
        <v>0</v>
      </c>
      <c r="W108" s="549"/>
      <c r="X108" s="53"/>
      <c r="Y108" s="518"/>
      <c r="Z108" s="548"/>
      <c r="AA108" s="493">
        <v>0</v>
      </c>
      <c r="AB108" s="549"/>
      <c r="AC108" s="53"/>
      <c r="AD108" s="518"/>
      <c r="AE108" s="548"/>
      <c r="AF108" s="493">
        <v>0</v>
      </c>
      <c r="AG108" s="549"/>
      <c r="AH108" s="53"/>
      <c r="AI108" s="518"/>
      <c r="AJ108" s="548"/>
      <c r="AK108" s="493">
        <v>18552</v>
      </c>
      <c r="AL108" s="549"/>
      <c r="AM108" s="52"/>
      <c r="AN108" s="49"/>
      <c r="AO108" s="548"/>
      <c r="AP108" s="493">
        <v>0</v>
      </c>
      <c r="AQ108" s="549"/>
      <c r="AR108" s="53"/>
      <c r="AS108" s="518"/>
      <c r="AT108" s="548"/>
      <c r="AU108" s="493">
        <v>0</v>
      </c>
      <c r="AV108" s="549"/>
      <c r="AW108" s="53"/>
      <c r="AX108" s="518"/>
      <c r="AY108" s="548"/>
      <c r="AZ108" s="493">
        <v>0</v>
      </c>
      <c r="BA108" s="549"/>
      <c r="BB108" s="53"/>
      <c r="BC108" s="518"/>
      <c r="BD108" s="548"/>
      <c r="BE108" s="493">
        <v>0</v>
      </c>
      <c r="BF108" s="549"/>
      <c r="BG108" s="53"/>
      <c r="BH108" s="518"/>
      <c r="BI108" s="548"/>
      <c r="BJ108" s="493">
        <v>0</v>
      </c>
      <c r="BK108" s="549"/>
      <c r="BL108" s="53"/>
      <c r="BM108" s="518"/>
      <c r="BN108" s="548"/>
      <c r="BO108" s="493">
        <v>0</v>
      </c>
      <c r="BP108" s="549"/>
      <c r="BQ108" s="53"/>
      <c r="BR108" s="518"/>
      <c r="BS108" s="548"/>
      <c r="BT108" s="493">
        <f>SUM(L108:BO108)</f>
        <v>18552</v>
      </c>
      <c r="BU108" s="549"/>
      <c r="BV108" s="54"/>
      <c r="BW108" s="465"/>
      <c r="BX108" s="410"/>
      <c r="BY108" s="410"/>
    </row>
    <row r="109" spans="1:77" hidden="1" x14ac:dyDescent="0.2">
      <c r="A109" s="377"/>
      <c r="B109" s="377"/>
      <c r="D109" s="465"/>
      <c r="E109" s="417"/>
      <c r="F109" s="377"/>
      <c r="G109" s="53"/>
      <c r="H109" s="53"/>
      <c r="I109" s="53"/>
      <c r="J109" s="518"/>
      <c r="K109" s="377"/>
      <c r="L109" s="53"/>
      <c r="M109" s="53"/>
      <c r="N109" s="53"/>
      <c r="O109" s="518"/>
      <c r="P109" s="377"/>
      <c r="Q109" s="53"/>
      <c r="R109" s="53"/>
      <c r="S109" s="53"/>
      <c r="T109" s="518"/>
      <c r="U109" s="377"/>
      <c r="V109" s="53"/>
      <c r="W109" s="53"/>
      <c r="X109" s="53"/>
      <c r="Y109" s="518"/>
      <c r="Z109" s="377"/>
      <c r="AA109" s="53"/>
      <c r="AB109" s="53"/>
      <c r="AC109" s="53"/>
      <c r="AD109" s="518"/>
      <c r="AE109" s="377"/>
      <c r="AF109" s="53"/>
      <c r="AG109" s="53"/>
      <c r="AH109" s="53"/>
      <c r="AI109" s="518"/>
      <c r="AJ109" s="377"/>
      <c r="AK109" s="53"/>
      <c r="AL109" s="53"/>
      <c r="AM109" s="53"/>
      <c r="AN109" s="518"/>
      <c r="AO109" s="377"/>
      <c r="AP109" s="53"/>
      <c r="AQ109" s="53"/>
      <c r="AR109" s="53"/>
      <c r="AS109" s="518"/>
      <c r="AT109" s="377"/>
      <c r="AU109" s="53"/>
      <c r="AV109" s="53"/>
      <c r="AW109" s="53"/>
      <c r="AX109" s="518"/>
      <c r="AY109" s="377"/>
      <c r="AZ109" s="53"/>
      <c r="BA109" s="53"/>
      <c r="BB109" s="53"/>
      <c r="BC109" s="518"/>
      <c r="BD109" s="377"/>
      <c r="BE109" s="53"/>
      <c r="BF109" s="53"/>
      <c r="BG109" s="53"/>
      <c r="BH109" s="518"/>
      <c r="BI109" s="377"/>
      <c r="BJ109" s="53"/>
      <c r="BK109" s="53"/>
      <c r="BL109" s="53"/>
      <c r="BM109" s="518"/>
      <c r="BN109" s="377"/>
      <c r="BO109" s="53"/>
      <c r="BP109" s="53"/>
      <c r="BQ109" s="53"/>
      <c r="BR109" s="518"/>
      <c r="BS109" s="377"/>
      <c r="BT109" s="53"/>
      <c r="BU109" s="53"/>
      <c r="BV109" s="54"/>
      <c r="BW109" s="465"/>
      <c r="BX109" s="410"/>
      <c r="BY109" s="410"/>
    </row>
    <row r="110" spans="1:77" hidden="1" x14ac:dyDescent="0.2">
      <c r="A110" s="377"/>
      <c r="B110" s="377"/>
      <c r="D110" s="465" t="s">
        <v>408</v>
      </c>
      <c r="E110" s="417"/>
      <c r="F110" s="377"/>
      <c r="G110" s="53">
        <f>SUM(G111:G111)</f>
        <v>0</v>
      </c>
      <c r="H110" s="53"/>
      <c r="I110" s="53"/>
      <c r="J110" s="518"/>
      <c r="K110" s="53"/>
      <c r="L110" s="53">
        <f>SUM(L111:L111)</f>
        <v>0</v>
      </c>
      <c r="M110" s="53"/>
      <c r="N110" s="53"/>
      <c r="O110" s="518"/>
      <c r="P110" s="53"/>
      <c r="Q110" s="53">
        <f>SUM(Q111:Q111)</f>
        <v>0</v>
      </c>
      <c r="R110" s="53"/>
      <c r="S110" s="53"/>
      <c r="T110" s="518"/>
      <c r="U110" s="53"/>
      <c r="V110" s="53">
        <f>SUM(V111:V111)</f>
        <v>0</v>
      </c>
      <c r="W110" s="53"/>
      <c r="X110" s="53"/>
      <c r="Y110" s="518"/>
      <c r="Z110" s="53"/>
      <c r="AA110" s="53">
        <f>SUM(AA111:AA111)</f>
        <v>0</v>
      </c>
      <c r="AB110" s="53"/>
      <c r="AC110" s="53"/>
      <c r="AD110" s="518"/>
      <c r="AE110" s="53"/>
      <c r="AF110" s="53">
        <f>SUM(AF111:AF111)</f>
        <v>0</v>
      </c>
      <c r="AG110" s="53"/>
      <c r="AH110" s="53"/>
      <c r="AI110" s="518"/>
      <c r="AJ110" s="53"/>
      <c r="AK110" s="53">
        <f>SUM(AK111:AK111)</f>
        <v>0</v>
      </c>
      <c r="AL110" s="53"/>
      <c r="AM110" s="53"/>
      <c r="AN110" s="518"/>
      <c r="AO110" s="53"/>
      <c r="AP110" s="53">
        <f>SUM(AP111:AP111)</f>
        <v>0</v>
      </c>
      <c r="AQ110" s="53"/>
      <c r="AR110" s="53"/>
      <c r="AS110" s="518"/>
      <c r="AT110" s="53"/>
      <c r="AU110" s="53">
        <f>SUM(AU111:AU111)</f>
        <v>0</v>
      </c>
      <c r="AV110" s="53"/>
      <c r="AW110" s="53"/>
      <c r="AX110" s="518"/>
      <c r="AY110" s="53"/>
      <c r="AZ110" s="53">
        <f>SUM(AZ111:AZ111)</f>
        <v>0</v>
      </c>
      <c r="BA110" s="53"/>
      <c r="BB110" s="53"/>
      <c r="BC110" s="518"/>
      <c r="BD110" s="53"/>
      <c r="BE110" s="53">
        <f>SUM(BE111:BE111)</f>
        <v>0</v>
      </c>
      <c r="BF110" s="53"/>
      <c r="BG110" s="53"/>
      <c r="BH110" s="518"/>
      <c r="BI110" s="53"/>
      <c r="BJ110" s="53">
        <f>SUM(BJ111:BJ111)</f>
        <v>0</v>
      </c>
      <c r="BK110" s="53"/>
      <c r="BL110" s="53"/>
      <c r="BM110" s="518"/>
      <c r="BN110" s="53"/>
      <c r="BO110" s="53">
        <f>SUM(BO111:BO111)</f>
        <v>0</v>
      </c>
      <c r="BP110" s="53"/>
      <c r="BQ110" s="53"/>
      <c r="BR110" s="518"/>
      <c r="BS110" s="377"/>
      <c r="BT110" s="53">
        <f>SUM(BT111:BT111)</f>
        <v>0</v>
      </c>
      <c r="BU110" s="53"/>
      <c r="BV110" s="54"/>
      <c r="BW110" s="465"/>
      <c r="BX110" s="410"/>
      <c r="BY110" s="410"/>
    </row>
    <row r="111" spans="1:77" hidden="1" x14ac:dyDescent="0.2">
      <c r="A111" s="377"/>
      <c r="B111" s="377"/>
      <c r="D111" s="465" t="s">
        <v>378</v>
      </c>
      <c r="E111" s="417"/>
      <c r="F111" s="548"/>
      <c r="G111" s="493">
        <v>0</v>
      </c>
      <c r="H111" s="549"/>
      <c r="I111" s="53"/>
      <c r="J111" s="518"/>
      <c r="K111" s="548"/>
      <c r="L111" s="493">
        <v>0</v>
      </c>
      <c r="M111" s="549"/>
      <c r="N111" s="53"/>
      <c r="O111" s="518"/>
      <c r="P111" s="550"/>
      <c r="Q111" s="493">
        <v>0</v>
      </c>
      <c r="R111" s="549"/>
      <c r="S111" s="53"/>
      <c r="T111" s="518"/>
      <c r="U111" s="550"/>
      <c r="V111" s="493">
        <v>0</v>
      </c>
      <c r="W111" s="549"/>
      <c r="X111" s="53"/>
      <c r="Y111" s="518"/>
      <c r="Z111" s="550"/>
      <c r="AA111" s="493">
        <v>0</v>
      </c>
      <c r="AB111" s="549"/>
      <c r="AC111" s="53"/>
      <c r="AD111" s="518"/>
      <c r="AE111" s="550"/>
      <c r="AF111" s="493">
        <v>0</v>
      </c>
      <c r="AG111" s="549"/>
      <c r="AH111" s="53"/>
      <c r="AI111" s="518"/>
      <c r="AJ111" s="550"/>
      <c r="AK111" s="493">
        <v>0</v>
      </c>
      <c r="AL111" s="549"/>
      <c r="AM111" s="53"/>
      <c r="AN111" s="518"/>
      <c r="AO111" s="550"/>
      <c r="AP111" s="493">
        <v>0</v>
      </c>
      <c r="AQ111" s="549"/>
      <c r="AR111" s="53"/>
      <c r="AS111" s="518"/>
      <c r="AT111" s="550"/>
      <c r="AU111" s="493">
        <v>0</v>
      </c>
      <c r="AV111" s="549"/>
      <c r="AW111" s="53"/>
      <c r="AX111" s="518"/>
      <c r="AY111" s="550"/>
      <c r="AZ111" s="493">
        <v>0</v>
      </c>
      <c r="BA111" s="549"/>
      <c r="BB111" s="53"/>
      <c r="BC111" s="518"/>
      <c r="BD111" s="550"/>
      <c r="BE111" s="493">
        <v>0</v>
      </c>
      <c r="BF111" s="549"/>
      <c r="BG111" s="53"/>
      <c r="BH111" s="518"/>
      <c r="BI111" s="550"/>
      <c r="BJ111" s="493">
        <v>0</v>
      </c>
      <c r="BK111" s="549"/>
      <c r="BL111" s="53"/>
      <c r="BM111" s="518"/>
      <c r="BN111" s="550"/>
      <c r="BO111" s="493">
        <v>0</v>
      </c>
      <c r="BP111" s="549"/>
      <c r="BQ111" s="53"/>
      <c r="BR111" s="518"/>
      <c r="BS111" s="548"/>
      <c r="BT111" s="493">
        <f>SUM(L111:BO111)</f>
        <v>0</v>
      </c>
      <c r="BU111" s="549"/>
      <c r="BV111" s="54"/>
      <c r="BW111" s="465"/>
      <c r="BX111" s="410"/>
      <c r="BY111" s="410"/>
    </row>
    <row r="112" spans="1:77" x14ac:dyDescent="0.2">
      <c r="A112" s="377"/>
      <c r="B112" s="377"/>
      <c r="D112" s="465"/>
      <c r="E112" s="417"/>
      <c r="F112" s="377"/>
      <c r="G112" s="53"/>
      <c r="H112" s="53"/>
      <c r="I112" s="53"/>
      <c r="J112" s="518"/>
      <c r="K112" s="377"/>
      <c r="L112" s="53"/>
      <c r="M112" s="53"/>
      <c r="N112" s="53"/>
      <c r="O112" s="518"/>
      <c r="P112" s="377"/>
      <c r="Q112" s="53"/>
      <c r="R112" s="53"/>
      <c r="S112" s="53"/>
      <c r="T112" s="518"/>
      <c r="U112" s="377"/>
      <c r="V112" s="53"/>
      <c r="W112" s="53"/>
      <c r="X112" s="53"/>
      <c r="Y112" s="518"/>
      <c r="Z112" s="377"/>
      <c r="AA112" s="53"/>
      <c r="AB112" s="53"/>
      <c r="AC112" s="53"/>
      <c r="AD112" s="518"/>
      <c r="AE112" s="377"/>
      <c r="AF112" s="53"/>
      <c r="AG112" s="53"/>
      <c r="AH112" s="53"/>
      <c r="AI112" s="518"/>
      <c r="AJ112" s="377"/>
      <c r="AK112" s="53"/>
      <c r="AL112" s="53"/>
      <c r="AM112" s="53"/>
      <c r="AN112" s="518"/>
      <c r="AO112" s="377"/>
      <c r="AP112" s="53"/>
      <c r="AQ112" s="53"/>
      <c r="AR112" s="53"/>
      <c r="AS112" s="518"/>
      <c r="AT112" s="377"/>
      <c r="AU112" s="53"/>
      <c r="AV112" s="53"/>
      <c r="AW112" s="53"/>
      <c r="AX112" s="518"/>
      <c r="AY112" s="377"/>
      <c r="AZ112" s="53"/>
      <c r="BA112" s="53"/>
      <c r="BB112" s="53"/>
      <c r="BC112" s="518"/>
      <c r="BD112" s="377"/>
      <c r="BE112" s="53"/>
      <c r="BF112" s="53"/>
      <c r="BG112" s="53"/>
      <c r="BH112" s="518"/>
      <c r="BI112" s="377"/>
      <c r="BJ112" s="53"/>
      <c r="BK112" s="53"/>
      <c r="BL112" s="53"/>
      <c r="BM112" s="518"/>
      <c r="BN112" s="377"/>
      <c r="BO112" s="53"/>
      <c r="BP112" s="53"/>
      <c r="BQ112" s="53"/>
      <c r="BR112" s="518"/>
      <c r="BS112" s="377"/>
      <c r="BT112" s="53"/>
      <c r="BU112" s="53"/>
      <c r="BV112" s="54"/>
      <c r="BW112" s="465"/>
      <c r="BX112" s="410"/>
      <c r="BY112" s="410"/>
    </row>
    <row r="113" spans="1:77" hidden="1" x14ac:dyDescent="0.2">
      <c r="A113" s="377"/>
      <c r="B113" s="377"/>
      <c r="D113" s="465" t="s">
        <v>404</v>
      </c>
      <c r="E113" s="417"/>
      <c r="F113" s="377"/>
      <c r="G113" s="53">
        <f>SUM(G114:G114)</f>
        <v>0</v>
      </c>
      <c r="H113" s="53"/>
      <c r="I113" s="53"/>
      <c r="J113" s="518"/>
      <c r="K113" s="53"/>
      <c r="L113" s="53">
        <f>SUM(L114:L114)</f>
        <v>0</v>
      </c>
      <c r="M113" s="53"/>
      <c r="N113" s="53"/>
      <c r="O113" s="518"/>
      <c r="P113" s="53"/>
      <c r="Q113" s="53">
        <f>SUM(Q114:Q114)</f>
        <v>0</v>
      </c>
      <c r="R113" s="53"/>
      <c r="S113" s="53"/>
      <c r="T113" s="518"/>
      <c r="U113" s="53"/>
      <c r="V113" s="53">
        <f>SUM(V114:V114)</f>
        <v>0</v>
      </c>
      <c r="W113" s="53"/>
      <c r="X113" s="53"/>
      <c r="Y113" s="518"/>
      <c r="Z113" s="53"/>
      <c r="AA113" s="53">
        <f>SUM(AA114:AA114)</f>
        <v>0</v>
      </c>
      <c r="AB113" s="53"/>
      <c r="AC113" s="53"/>
      <c r="AD113" s="518"/>
      <c r="AE113" s="53"/>
      <c r="AF113" s="53">
        <f>SUM(AF114:AF114)</f>
        <v>0</v>
      </c>
      <c r="AG113" s="53"/>
      <c r="AH113" s="53"/>
      <c r="AI113" s="518"/>
      <c r="AJ113" s="53"/>
      <c r="AK113" s="53">
        <f>SUM(AK114:AK114)</f>
        <v>0</v>
      </c>
      <c r="AL113" s="53"/>
      <c r="AM113" s="53"/>
      <c r="AN113" s="518"/>
      <c r="AO113" s="53"/>
      <c r="AP113" s="53">
        <f>SUM(AP114:AP114)</f>
        <v>0</v>
      </c>
      <c r="AQ113" s="53"/>
      <c r="AR113" s="53"/>
      <c r="AS113" s="518"/>
      <c r="AT113" s="53"/>
      <c r="AU113" s="53">
        <f>SUM(AU114:AU114)</f>
        <v>0</v>
      </c>
      <c r="AV113" s="53"/>
      <c r="AW113" s="53"/>
      <c r="AX113" s="518"/>
      <c r="AY113" s="53"/>
      <c r="AZ113" s="53">
        <f>SUM(AZ114:AZ114)</f>
        <v>0</v>
      </c>
      <c r="BA113" s="53"/>
      <c r="BB113" s="53"/>
      <c r="BC113" s="518"/>
      <c r="BD113" s="53"/>
      <c r="BE113" s="53">
        <f>SUM(BE114:BE114)</f>
        <v>0</v>
      </c>
      <c r="BF113" s="53"/>
      <c r="BG113" s="53"/>
      <c r="BH113" s="518"/>
      <c r="BI113" s="53"/>
      <c r="BJ113" s="53">
        <f>SUM(BJ114:BJ114)</f>
        <v>0</v>
      </c>
      <c r="BK113" s="53"/>
      <c r="BL113" s="53"/>
      <c r="BM113" s="518"/>
      <c r="BN113" s="53"/>
      <c r="BO113" s="53">
        <f>SUM(BO114:BO114)</f>
        <v>0</v>
      </c>
      <c r="BP113" s="53"/>
      <c r="BQ113" s="53"/>
      <c r="BR113" s="518"/>
      <c r="BS113" s="377"/>
      <c r="BT113" s="53">
        <f>SUM(BT114:BT114)</f>
        <v>0</v>
      </c>
      <c r="BU113" s="53"/>
      <c r="BV113" s="54"/>
      <c r="BW113" s="465"/>
      <c r="BX113" s="410"/>
      <c r="BY113" s="410"/>
    </row>
    <row r="114" spans="1:77" hidden="1" x14ac:dyDescent="0.2">
      <c r="A114" s="377"/>
      <c r="B114" s="377"/>
      <c r="D114" s="465" t="s">
        <v>378</v>
      </c>
      <c r="E114" s="417"/>
      <c r="F114" s="548"/>
      <c r="G114" s="493">
        <v>0</v>
      </c>
      <c r="H114" s="549"/>
      <c r="I114" s="53"/>
      <c r="J114" s="518"/>
      <c r="K114" s="548"/>
      <c r="L114" s="493">
        <v>0</v>
      </c>
      <c r="M114" s="549"/>
      <c r="N114" s="53"/>
      <c r="O114" s="518"/>
      <c r="P114" s="550"/>
      <c r="Q114" s="493">
        <v>0</v>
      </c>
      <c r="R114" s="549"/>
      <c r="S114" s="53"/>
      <c r="T114" s="518"/>
      <c r="U114" s="550"/>
      <c r="V114" s="493">
        <v>0</v>
      </c>
      <c r="W114" s="549"/>
      <c r="X114" s="53"/>
      <c r="Y114" s="518"/>
      <c r="Z114" s="550"/>
      <c r="AA114" s="493">
        <v>0</v>
      </c>
      <c r="AB114" s="549"/>
      <c r="AC114" s="53"/>
      <c r="AD114" s="518"/>
      <c r="AE114" s="550"/>
      <c r="AF114" s="493">
        <v>0</v>
      </c>
      <c r="AG114" s="549"/>
      <c r="AH114" s="53"/>
      <c r="AI114" s="518"/>
      <c r="AJ114" s="550"/>
      <c r="AK114" s="493">
        <v>0</v>
      </c>
      <c r="AL114" s="549"/>
      <c r="AM114" s="53"/>
      <c r="AN114" s="518"/>
      <c r="AO114" s="550"/>
      <c r="AP114" s="493">
        <v>0</v>
      </c>
      <c r="AQ114" s="549"/>
      <c r="AR114" s="53"/>
      <c r="AS114" s="518"/>
      <c r="AT114" s="550"/>
      <c r="AU114" s="493">
        <v>0</v>
      </c>
      <c r="AV114" s="549"/>
      <c r="AW114" s="53"/>
      <c r="AX114" s="518"/>
      <c r="AY114" s="550"/>
      <c r="AZ114" s="493">
        <v>0</v>
      </c>
      <c r="BA114" s="549"/>
      <c r="BB114" s="53"/>
      <c r="BC114" s="518"/>
      <c r="BD114" s="550"/>
      <c r="BE114" s="493">
        <v>0</v>
      </c>
      <c r="BF114" s="549"/>
      <c r="BG114" s="53"/>
      <c r="BH114" s="518"/>
      <c r="BI114" s="550"/>
      <c r="BJ114" s="493">
        <v>0</v>
      </c>
      <c r="BK114" s="549"/>
      <c r="BL114" s="53"/>
      <c r="BM114" s="518"/>
      <c r="BN114" s="550"/>
      <c r="BO114" s="493">
        <v>0</v>
      </c>
      <c r="BP114" s="549"/>
      <c r="BQ114" s="53"/>
      <c r="BR114" s="518"/>
      <c r="BS114" s="548"/>
      <c r="BT114" s="493">
        <f>SUM(L114:BO114)</f>
        <v>0</v>
      </c>
      <c r="BU114" s="549"/>
      <c r="BV114" s="54"/>
      <c r="BW114" s="465"/>
      <c r="BX114" s="410"/>
      <c r="BY114" s="410"/>
    </row>
    <row r="115" spans="1:77" hidden="1" x14ac:dyDescent="0.2">
      <c r="A115" s="377"/>
      <c r="B115" s="377"/>
      <c r="D115" s="465"/>
      <c r="E115" s="417"/>
      <c r="F115" s="377"/>
      <c r="G115" s="53"/>
      <c r="H115" s="53"/>
      <c r="I115" s="53"/>
      <c r="J115" s="518"/>
      <c r="K115" s="377"/>
      <c r="L115" s="53"/>
      <c r="M115" s="53"/>
      <c r="N115" s="53"/>
      <c r="O115" s="518"/>
      <c r="P115" s="377"/>
      <c r="Q115" s="53"/>
      <c r="R115" s="53"/>
      <c r="S115" s="53"/>
      <c r="T115" s="518"/>
      <c r="U115" s="377"/>
      <c r="V115" s="53"/>
      <c r="W115" s="53"/>
      <c r="X115" s="53"/>
      <c r="Y115" s="518"/>
      <c r="Z115" s="377"/>
      <c r="AA115" s="53"/>
      <c r="AB115" s="53"/>
      <c r="AC115" s="53"/>
      <c r="AD115" s="518"/>
      <c r="AE115" s="377"/>
      <c r="AF115" s="53"/>
      <c r="AG115" s="53"/>
      <c r="AH115" s="53"/>
      <c r="AI115" s="518"/>
      <c r="AJ115" s="377"/>
      <c r="AK115" s="53"/>
      <c r="AL115" s="53"/>
      <c r="AM115" s="53"/>
      <c r="AN115" s="518"/>
      <c r="AO115" s="377"/>
      <c r="AP115" s="53"/>
      <c r="AQ115" s="53"/>
      <c r="AR115" s="53"/>
      <c r="AS115" s="518"/>
      <c r="AT115" s="377"/>
      <c r="AU115" s="53"/>
      <c r="AV115" s="53"/>
      <c r="AW115" s="53"/>
      <c r="AX115" s="518"/>
      <c r="AY115" s="377"/>
      <c r="AZ115" s="53"/>
      <c r="BA115" s="53"/>
      <c r="BB115" s="53"/>
      <c r="BC115" s="518"/>
      <c r="BD115" s="377"/>
      <c r="BE115" s="53"/>
      <c r="BF115" s="53"/>
      <c r="BG115" s="53"/>
      <c r="BH115" s="518"/>
      <c r="BI115" s="377"/>
      <c r="BJ115" s="53"/>
      <c r="BK115" s="53"/>
      <c r="BL115" s="53"/>
      <c r="BM115" s="518"/>
      <c r="BN115" s="377"/>
      <c r="BO115" s="53"/>
      <c r="BP115" s="53"/>
      <c r="BQ115" s="53"/>
      <c r="BR115" s="518"/>
      <c r="BS115" s="377"/>
      <c r="BT115" s="53"/>
      <c r="BU115" s="53"/>
      <c r="BV115" s="54"/>
      <c r="BW115" s="465"/>
      <c r="BX115" s="410"/>
      <c r="BY115" s="410"/>
    </row>
    <row r="116" spans="1:77" x14ac:dyDescent="0.2">
      <c r="A116" s="377"/>
      <c r="B116" s="377"/>
      <c r="D116" s="465" t="s">
        <v>444</v>
      </c>
      <c r="E116" s="417"/>
      <c r="F116" s="377"/>
      <c r="G116" s="53">
        <f>SUM(G117:G117)</f>
        <v>0</v>
      </c>
      <c r="H116" s="53"/>
      <c r="I116" s="53"/>
      <c r="J116" s="518"/>
      <c r="K116" s="53"/>
      <c r="L116" s="53">
        <f>SUM(L117:L117)</f>
        <v>0</v>
      </c>
      <c r="M116" s="53"/>
      <c r="N116" s="53"/>
      <c r="O116" s="518"/>
      <c r="P116" s="53"/>
      <c r="Q116" s="53">
        <f>SUM(Q117:Q117)</f>
        <v>0</v>
      </c>
      <c r="R116" s="53"/>
      <c r="S116" s="53"/>
      <c r="T116" s="518"/>
      <c r="U116" s="53"/>
      <c r="V116" s="53">
        <f>SUM(V117:V117)</f>
        <v>0</v>
      </c>
      <c r="W116" s="53"/>
      <c r="X116" s="53"/>
      <c r="Y116" s="518"/>
      <c r="Z116" s="53"/>
      <c r="AA116" s="53">
        <f>SUM(AA117:AA117)</f>
        <v>0</v>
      </c>
      <c r="AB116" s="53"/>
      <c r="AC116" s="53"/>
      <c r="AD116" s="518"/>
      <c r="AE116" s="53"/>
      <c r="AF116" s="53">
        <f>SUM(AF117:AF117)</f>
        <v>0</v>
      </c>
      <c r="AG116" s="53"/>
      <c r="AH116" s="53"/>
      <c r="AI116" s="518"/>
      <c r="AJ116" s="53"/>
      <c r="AK116" s="53">
        <f>SUM(AK117:AK117)</f>
        <v>0</v>
      </c>
      <c r="AL116" s="53"/>
      <c r="AM116" s="53"/>
      <c r="AN116" s="518"/>
      <c r="AO116" s="53"/>
      <c r="AP116" s="53">
        <f>SUM(AP117:AP117)</f>
        <v>0</v>
      </c>
      <c r="AQ116" s="53"/>
      <c r="AR116" s="53"/>
      <c r="AS116" s="518"/>
      <c r="AT116" s="53"/>
      <c r="AU116" s="53">
        <f>SUM(AU117:AU117)</f>
        <v>0</v>
      </c>
      <c r="AV116" s="53"/>
      <c r="AW116" s="53"/>
      <c r="AX116" s="518"/>
      <c r="AY116" s="53"/>
      <c r="AZ116" s="53">
        <f>SUM(AZ117:AZ117)</f>
        <v>0</v>
      </c>
      <c r="BA116" s="53"/>
      <c r="BB116" s="53"/>
      <c r="BC116" s="518"/>
      <c r="BD116" s="53"/>
      <c r="BE116" s="53">
        <f>SUM(BE117:BE117)</f>
        <v>0</v>
      </c>
      <c r="BF116" s="53"/>
      <c r="BG116" s="53"/>
      <c r="BH116" s="518"/>
      <c r="BI116" s="53"/>
      <c r="BJ116" s="53">
        <f>SUM(BJ117:BJ117)</f>
        <v>0</v>
      </c>
      <c r="BK116" s="53"/>
      <c r="BL116" s="53"/>
      <c r="BM116" s="518"/>
      <c r="BN116" s="53"/>
      <c r="BO116" s="53">
        <f>SUM(BO117:BO117)</f>
        <v>0</v>
      </c>
      <c r="BP116" s="53"/>
      <c r="BQ116" s="53"/>
      <c r="BR116" s="518"/>
      <c r="BS116" s="377"/>
      <c r="BT116" s="53">
        <f>SUM(BT117:BT117)</f>
        <v>0</v>
      </c>
      <c r="BU116" s="53"/>
      <c r="BV116" s="54"/>
      <c r="BW116" s="465"/>
      <c r="BX116" s="410"/>
      <c r="BY116" s="410"/>
    </row>
    <row r="117" spans="1:77" x14ac:dyDescent="0.2">
      <c r="A117" s="377"/>
      <c r="B117" s="377"/>
      <c r="D117" s="465" t="s">
        <v>378</v>
      </c>
      <c r="E117" s="417"/>
      <c r="F117" s="548"/>
      <c r="G117" s="493">
        <v>0</v>
      </c>
      <c r="H117" s="549"/>
      <c r="I117" s="53"/>
      <c r="J117" s="518"/>
      <c r="K117" s="548"/>
      <c r="L117" s="493">
        <v>0</v>
      </c>
      <c r="M117" s="549"/>
      <c r="N117" s="53"/>
      <c r="O117" s="518"/>
      <c r="P117" s="550"/>
      <c r="Q117" s="493">
        <v>0</v>
      </c>
      <c r="R117" s="549"/>
      <c r="S117" s="53"/>
      <c r="T117" s="518"/>
      <c r="U117" s="550"/>
      <c r="V117" s="493">
        <v>0</v>
      </c>
      <c r="W117" s="549"/>
      <c r="X117" s="53"/>
      <c r="Y117" s="518"/>
      <c r="Z117" s="550"/>
      <c r="AA117" s="493">
        <v>0</v>
      </c>
      <c r="AB117" s="549"/>
      <c r="AC117" s="53"/>
      <c r="AD117" s="518"/>
      <c r="AE117" s="550"/>
      <c r="AF117" s="493">
        <v>0</v>
      </c>
      <c r="AG117" s="549"/>
      <c r="AH117" s="53"/>
      <c r="AI117" s="518"/>
      <c r="AJ117" s="550"/>
      <c r="AK117" s="493">
        <v>0</v>
      </c>
      <c r="AL117" s="549"/>
      <c r="AM117" s="53"/>
      <c r="AN117" s="518"/>
      <c r="AO117" s="550"/>
      <c r="AP117" s="493">
        <v>0</v>
      </c>
      <c r="AQ117" s="549"/>
      <c r="AR117" s="53"/>
      <c r="AS117" s="518"/>
      <c r="AT117" s="550"/>
      <c r="AU117" s="493">
        <v>0</v>
      </c>
      <c r="AV117" s="549"/>
      <c r="AW117" s="53"/>
      <c r="AX117" s="518"/>
      <c r="AY117" s="550"/>
      <c r="AZ117" s="493">
        <v>0</v>
      </c>
      <c r="BA117" s="549"/>
      <c r="BB117" s="53"/>
      <c r="BC117" s="518"/>
      <c r="BD117" s="550"/>
      <c r="BE117" s="493">
        <v>0</v>
      </c>
      <c r="BF117" s="549"/>
      <c r="BG117" s="53"/>
      <c r="BH117" s="518"/>
      <c r="BI117" s="550"/>
      <c r="BJ117" s="493">
        <v>0</v>
      </c>
      <c r="BK117" s="549"/>
      <c r="BL117" s="53"/>
      <c r="BM117" s="518"/>
      <c r="BN117" s="550"/>
      <c r="BO117" s="493">
        <v>0</v>
      </c>
      <c r="BP117" s="549"/>
      <c r="BQ117" s="53"/>
      <c r="BR117" s="518"/>
      <c r="BS117" s="548"/>
      <c r="BT117" s="493">
        <f>SUM(L117:BO117)</f>
        <v>0</v>
      </c>
      <c r="BU117" s="549"/>
      <c r="BV117" s="54"/>
      <c r="BW117" s="465"/>
      <c r="BX117" s="410"/>
      <c r="BY117" s="410"/>
    </row>
    <row r="118" spans="1:77" x14ac:dyDescent="0.2">
      <c r="A118" s="377"/>
      <c r="B118" s="377"/>
      <c r="D118" s="465"/>
      <c r="E118" s="417"/>
      <c r="F118" s="377"/>
      <c r="G118" s="53"/>
      <c r="H118" s="53"/>
      <c r="I118" s="53"/>
      <c r="J118" s="518"/>
      <c r="K118" s="377"/>
      <c r="L118" s="53"/>
      <c r="M118" s="53"/>
      <c r="N118" s="53"/>
      <c r="O118" s="518"/>
      <c r="P118" s="377"/>
      <c r="Q118" s="53"/>
      <c r="R118" s="53"/>
      <c r="S118" s="53"/>
      <c r="T118" s="518"/>
      <c r="U118" s="377"/>
      <c r="V118" s="53"/>
      <c r="W118" s="53"/>
      <c r="X118" s="53"/>
      <c r="Y118" s="518"/>
      <c r="Z118" s="377"/>
      <c r="AA118" s="53"/>
      <c r="AB118" s="53"/>
      <c r="AC118" s="53"/>
      <c r="AD118" s="518"/>
      <c r="AE118" s="377"/>
      <c r="AF118" s="53"/>
      <c r="AG118" s="53"/>
      <c r="AH118" s="53"/>
      <c r="AI118" s="518"/>
      <c r="AJ118" s="377"/>
      <c r="AK118" s="53"/>
      <c r="AL118" s="53"/>
      <c r="AM118" s="53"/>
      <c r="AN118" s="518"/>
      <c r="AO118" s="377"/>
      <c r="AP118" s="53"/>
      <c r="AQ118" s="53"/>
      <c r="AR118" s="53"/>
      <c r="AS118" s="518"/>
      <c r="AT118" s="377"/>
      <c r="AU118" s="53"/>
      <c r="AV118" s="53"/>
      <c r="AW118" s="53"/>
      <c r="AX118" s="518"/>
      <c r="AY118" s="377"/>
      <c r="AZ118" s="53"/>
      <c r="BA118" s="53"/>
      <c r="BB118" s="53"/>
      <c r="BC118" s="518"/>
      <c r="BD118" s="377"/>
      <c r="BE118" s="53"/>
      <c r="BF118" s="53"/>
      <c r="BG118" s="53"/>
      <c r="BH118" s="518"/>
      <c r="BI118" s="377"/>
      <c r="BJ118" s="53"/>
      <c r="BK118" s="53"/>
      <c r="BL118" s="53"/>
      <c r="BM118" s="518"/>
      <c r="BN118" s="377"/>
      <c r="BO118" s="53"/>
      <c r="BP118" s="53"/>
      <c r="BQ118" s="53"/>
      <c r="BR118" s="518"/>
      <c r="BS118" s="377"/>
      <c r="BT118" s="53"/>
      <c r="BU118" s="53"/>
      <c r="BV118" s="54"/>
      <c r="BW118" s="465"/>
      <c r="BX118" s="410"/>
      <c r="BY118" s="410"/>
    </row>
    <row r="119" spans="1:77" x14ac:dyDescent="0.2">
      <c r="A119" s="377"/>
      <c r="B119" s="377"/>
      <c r="D119" s="465" t="s">
        <v>406</v>
      </c>
      <c r="E119" s="417"/>
      <c r="F119" s="377"/>
      <c r="G119" s="53">
        <f>SUM(G120:G120)</f>
        <v>0</v>
      </c>
      <c r="H119" s="53"/>
      <c r="I119" s="53"/>
      <c r="J119" s="518"/>
      <c r="K119" s="53"/>
      <c r="L119" s="53">
        <f>SUM(L120:L120)</f>
        <v>0</v>
      </c>
      <c r="M119" s="53"/>
      <c r="N119" s="53"/>
      <c r="O119" s="518"/>
      <c r="P119" s="53"/>
      <c r="Q119" s="53">
        <f>SUM(Q120:Q120)</f>
        <v>0</v>
      </c>
      <c r="R119" s="53"/>
      <c r="S119" s="53"/>
      <c r="T119" s="518"/>
      <c r="U119" s="53"/>
      <c r="V119" s="53">
        <f>SUM(V120:V120)</f>
        <v>0</v>
      </c>
      <c r="W119" s="53"/>
      <c r="X119" s="53"/>
      <c r="Y119" s="518"/>
      <c r="Z119" s="53"/>
      <c r="AA119" s="53">
        <f>SUM(AA120:AA120)</f>
        <v>0</v>
      </c>
      <c r="AB119" s="53"/>
      <c r="AC119" s="53"/>
      <c r="AD119" s="518"/>
      <c r="AE119" s="53"/>
      <c r="AF119" s="53">
        <f>SUM(AF120:AF120)</f>
        <v>0</v>
      </c>
      <c r="AG119" s="53"/>
      <c r="AH119" s="53"/>
      <c r="AI119" s="518"/>
      <c r="AJ119" s="53"/>
      <c r="AK119" s="53">
        <f>SUM(AK120:AK120)</f>
        <v>0</v>
      </c>
      <c r="AL119" s="53"/>
      <c r="AM119" s="53"/>
      <c r="AN119" s="518"/>
      <c r="AO119" s="53"/>
      <c r="AP119" s="53">
        <f>SUM(AP120:AP120)</f>
        <v>0</v>
      </c>
      <c r="AQ119" s="53"/>
      <c r="AR119" s="53"/>
      <c r="AS119" s="518"/>
      <c r="AT119" s="53"/>
      <c r="AU119" s="53">
        <f>SUM(AU120:AU120)</f>
        <v>0</v>
      </c>
      <c r="AV119" s="53"/>
      <c r="AW119" s="53"/>
      <c r="AX119" s="518"/>
      <c r="AY119" s="53"/>
      <c r="AZ119" s="53">
        <f>SUM(AZ120:AZ120)</f>
        <v>0</v>
      </c>
      <c r="BA119" s="53"/>
      <c r="BB119" s="53"/>
      <c r="BC119" s="518"/>
      <c r="BD119" s="53"/>
      <c r="BE119" s="53">
        <f>SUM(BE120:BE120)</f>
        <v>0</v>
      </c>
      <c r="BF119" s="53"/>
      <c r="BG119" s="53"/>
      <c r="BH119" s="518"/>
      <c r="BI119" s="53"/>
      <c r="BJ119" s="53">
        <f>SUM(BJ120:BJ120)</f>
        <v>0</v>
      </c>
      <c r="BK119" s="53"/>
      <c r="BL119" s="53"/>
      <c r="BM119" s="518"/>
      <c r="BN119" s="53"/>
      <c r="BO119" s="53">
        <f>SUM(BO120:BO120)</f>
        <v>0</v>
      </c>
      <c r="BP119" s="53"/>
      <c r="BQ119" s="53"/>
      <c r="BR119" s="518"/>
      <c r="BS119" s="377"/>
      <c r="BT119" s="53">
        <f>SUM(BT120:BT120)</f>
        <v>0</v>
      </c>
      <c r="BU119" s="53"/>
      <c r="BV119" s="54"/>
      <c r="BW119" s="465"/>
      <c r="BX119" s="410"/>
      <c r="BY119" s="410"/>
    </row>
    <row r="120" spans="1:77" x14ac:dyDescent="0.2">
      <c r="A120" s="377"/>
      <c r="B120" s="377"/>
      <c r="D120" s="465" t="s">
        <v>378</v>
      </c>
      <c r="E120" s="417"/>
      <c r="F120" s="548"/>
      <c r="G120" s="493">
        <v>0</v>
      </c>
      <c r="H120" s="549"/>
      <c r="I120" s="53"/>
      <c r="J120" s="518"/>
      <c r="K120" s="548"/>
      <c r="L120" s="493">
        <v>0</v>
      </c>
      <c r="M120" s="549"/>
      <c r="N120" s="53"/>
      <c r="O120" s="518"/>
      <c r="P120" s="550"/>
      <c r="Q120" s="493">
        <v>0</v>
      </c>
      <c r="R120" s="549"/>
      <c r="S120" s="53"/>
      <c r="T120" s="518"/>
      <c r="U120" s="550"/>
      <c r="V120" s="493">
        <v>0</v>
      </c>
      <c r="W120" s="549"/>
      <c r="X120" s="53"/>
      <c r="Y120" s="518"/>
      <c r="Z120" s="550"/>
      <c r="AA120" s="493">
        <v>0</v>
      </c>
      <c r="AB120" s="549"/>
      <c r="AC120" s="53"/>
      <c r="AD120" s="518"/>
      <c r="AE120" s="550"/>
      <c r="AF120" s="493">
        <v>0</v>
      </c>
      <c r="AG120" s="549"/>
      <c r="AH120" s="53"/>
      <c r="AI120" s="518"/>
      <c r="AJ120" s="550"/>
      <c r="AK120" s="493">
        <v>0</v>
      </c>
      <c r="AL120" s="549"/>
      <c r="AM120" s="53"/>
      <c r="AN120" s="518"/>
      <c r="AO120" s="550"/>
      <c r="AP120" s="493">
        <v>0</v>
      </c>
      <c r="AQ120" s="549"/>
      <c r="AR120" s="53"/>
      <c r="AS120" s="518"/>
      <c r="AT120" s="550"/>
      <c r="AU120" s="493">
        <v>0</v>
      </c>
      <c r="AV120" s="549"/>
      <c r="AW120" s="53"/>
      <c r="AX120" s="518"/>
      <c r="AY120" s="550"/>
      <c r="AZ120" s="493">
        <v>0</v>
      </c>
      <c r="BA120" s="549"/>
      <c r="BB120" s="53"/>
      <c r="BC120" s="518"/>
      <c r="BD120" s="550"/>
      <c r="BE120" s="493">
        <v>0</v>
      </c>
      <c r="BF120" s="549"/>
      <c r="BG120" s="53"/>
      <c r="BH120" s="518"/>
      <c r="BI120" s="550"/>
      <c r="BJ120" s="493">
        <v>0</v>
      </c>
      <c r="BK120" s="549"/>
      <c r="BL120" s="53"/>
      <c r="BM120" s="518"/>
      <c r="BN120" s="550"/>
      <c r="BO120" s="493">
        <v>0</v>
      </c>
      <c r="BP120" s="549"/>
      <c r="BQ120" s="53"/>
      <c r="BR120" s="518"/>
      <c r="BS120" s="548"/>
      <c r="BT120" s="493">
        <f>SUM(L120:BO120)</f>
        <v>0</v>
      </c>
      <c r="BU120" s="549"/>
      <c r="BV120" s="54"/>
      <c r="BW120" s="465"/>
      <c r="BX120" s="410"/>
      <c r="BY120" s="410"/>
    </row>
    <row r="121" spans="1:77" hidden="1" x14ac:dyDescent="0.2">
      <c r="A121" s="377"/>
      <c r="B121" s="377"/>
      <c r="D121" s="553"/>
      <c r="E121" s="417"/>
      <c r="F121" s="377"/>
      <c r="G121" s="53"/>
      <c r="H121" s="53"/>
      <c r="I121" s="53"/>
      <c r="J121" s="518"/>
      <c r="K121" s="53"/>
      <c r="L121" s="53"/>
      <c r="M121" s="53"/>
      <c r="N121" s="53"/>
      <c r="O121" s="518"/>
      <c r="P121" s="53"/>
      <c r="Q121" s="53"/>
      <c r="R121" s="53"/>
      <c r="S121" s="53"/>
      <c r="T121" s="518"/>
      <c r="U121" s="53"/>
      <c r="V121" s="53"/>
      <c r="W121" s="53"/>
      <c r="X121" s="53"/>
      <c r="Y121" s="518"/>
      <c r="Z121" s="53"/>
      <c r="AA121" s="53"/>
      <c r="AB121" s="53"/>
      <c r="AC121" s="53"/>
      <c r="AD121" s="518"/>
      <c r="AE121" s="53"/>
      <c r="AF121" s="53"/>
      <c r="AG121" s="53"/>
      <c r="AH121" s="53"/>
      <c r="AI121" s="518"/>
      <c r="AJ121" s="53"/>
      <c r="AK121" s="53"/>
      <c r="AL121" s="53"/>
      <c r="AM121" s="53"/>
      <c r="AN121" s="518"/>
      <c r="AO121" s="53"/>
      <c r="AP121" s="53"/>
      <c r="AQ121" s="53"/>
      <c r="AR121" s="53"/>
      <c r="AS121" s="518"/>
      <c r="AT121" s="53"/>
      <c r="AU121" s="53"/>
      <c r="AV121" s="53"/>
      <c r="AW121" s="53"/>
      <c r="AX121" s="518"/>
      <c r="AY121" s="53"/>
      <c r="AZ121" s="53"/>
      <c r="BA121" s="53"/>
      <c r="BB121" s="53"/>
      <c r="BC121" s="518"/>
      <c r="BD121" s="53"/>
      <c r="BE121" s="53"/>
      <c r="BF121" s="53"/>
      <c r="BG121" s="53"/>
      <c r="BH121" s="518"/>
      <c r="BI121" s="53"/>
      <c r="BJ121" s="53"/>
      <c r="BK121" s="53"/>
      <c r="BL121" s="53"/>
      <c r="BM121" s="518"/>
      <c r="BN121" s="53"/>
      <c r="BO121" s="53"/>
      <c r="BP121" s="53"/>
      <c r="BQ121" s="53"/>
      <c r="BR121" s="518"/>
      <c r="BS121" s="53"/>
      <c r="BT121" s="53"/>
      <c r="BU121" s="53"/>
      <c r="BV121" s="54"/>
      <c r="BW121" s="465"/>
      <c r="BX121" s="410"/>
      <c r="BY121" s="410"/>
    </row>
    <row r="122" spans="1:77" s="410" customFormat="1" hidden="1" x14ac:dyDescent="0.2">
      <c r="A122" s="411"/>
      <c r="B122" s="411"/>
      <c r="D122" s="455" t="s">
        <v>466</v>
      </c>
      <c r="E122" s="485"/>
      <c r="F122" s="411"/>
      <c r="G122" s="42">
        <v>0</v>
      </c>
      <c r="H122" s="42"/>
      <c r="I122" s="42"/>
      <c r="J122" s="523"/>
      <c r="K122" s="42"/>
      <c r="L122" s="42">
        <f>SUM(L123:L125)</f>
        <v>0</v>
      </c>
      <c r="M122" s="42"/>
      <c r="N122" s="42"/>
      <c r="O122" s="523"/>
      <c r="P122" s="42"/>
      <c r="Q122" s="42">
        <f>SUM(Q123:Q125)</f>
        <v>0</v>
      </c>
      <c r="R122" s="42"/>
      <c r="S122" s="42"/>
      <c r="T122" s="523"/>
      <c r="U122" s="42"/>
      <c r="V122" s="42">
        <f>SUM(V123:V125)</f>
        <v>0</v>
      </c>
      <c r="W122" s="42"/>
      <c r="X122" s="42"/>
      <c r="Y122" s="523"/>
      <c r="Z122" s="42"/>
      <c r="AA122" s="42">
        <f>SUM(AA123:AA125)</f>
        <v>0</v>
      </c>
      <c r="AB122" s="42"/>
      <c r="AC122" s="42"/>
      <c r="AD122" s="523"/>
      <c r="AE122" s="42"/>
      <c r="AF122" s="42">
        <f>SUM(AF123:AF125)</f>
        <v>0</v>
      </c>
      <c r="AG122" s="42"/>
      <c r="AH122" s="42"/>
      <c r="AI122" s="523"/>
      <c r="AJ122" s="42"/>
      <c r="AK122" s="42">
        <f>SUM(AK123:AK125)</f>
        <v>0</v>
      </c>
      <c r="AL122" s="42"/>
      <c r="AM122" s="42"/>
      <c r="AN122" s="523"/>
      <c r="AO122" s="42"/>
      <c r="AP122" s="42">
        <f>SUM(AP123:AP125)</f>
        <v>0</v>
      </c>
      <c r="AQ122" s="42"/>
      <c r="AR122" s="42"/>
      <c r="AS122" s="523"/>
      <c r="AT122" s="42"/>
      <c r="AU122" s="42">
        <f>SUM(AU123:AU125)</f>
        <v>0</v>
      </c>
      <c r="AV122" s="42"/>
      <c r="AW122" s="42"/>
      <c r="AX122" s="523"/>
      <c r="AY122" s="42"/>
      <c r="AZ122" s="42">
        <f>SUM(AZ123:AZ125)</f>
        <v>0</v>
      </c>
      <c r="BA122" s="42"/>
      <c r="BB122" s="42"/>
      <c r="BC122" s="523"/>
      <c r="BD122" s="42"/>
      <c r="BE122" s="42">
        <f>SUM(BE123:BE125)</f>
        <v>0</v>
      </c>
      <c r="BF122" s="42"/>
      <c r="BG122" s="42"/>
      <c r="BH122" s="523"/>
      <c r="BI122" s="42"/>
      <c r="BJ122" s="42">
        <f>SUM(BJ123:BJ125)</f>
        <v>0</v>
      </c>
      <c r="BK122" s="42"/>
      <c r="BL122" s="42"/>
      <c r="BM122" s="523"/>
      <c r="BN122" s="42"/>
      <c r="BO122" s="42">
        <f>SUM(BO123:BO125)</f>
        <v>0</v>
      </c>
      <c r="BP122" s="42"/>
      <c r="BQ122" s="42"/>
      <c r="BR122" s="523"/>
      <c r="BS122" s="42"/>
      <c r="BT122" s="42">
        <f>SUM(BT123:BT125)</f>
        <v>0</v>
      </c>
      <c r="BU122" s="42"/>
      <c r="BV122" s="58"/>
      <c r="BW122" s="455"/>
    </row>
    <row r="123" spans="1:77" hidden="1" x14ac:dyDescent="0.2">
      <c r="A123" s="377"/>
      <c r="B123" s="377"/>
      <c r="D123" s="465" t="s">
        <v>378</v>
      </c>
      <c r="E123" s="417"/>
      <c r="F123" s="469"/>
      <c r="G123" s="520">
        <f>G133+G153</f>
        <v>0</v>
      </c>
      <c r="H123" s="521"/>
      <c r="I123" s="53"/>
      <c r="J123" s="518"/>
      <c r="K123" s="519"/>
      <c r="L123" s="520">
        <f>L133+L153</f>
        <v>0</v>
      </c>
      <c r="M123" s="521"/>
      <c r="N123" s="53"/>
      <c r="O123" s="518"/>
      <c r="P123" s="519"/>
      <c r="Q123" s="520">
        <f>Q133+Q153</f>
        <v>0</v>
      </c>
      <c r="R123" s="521"/>
      <c r="S123" s="53"/>
      <c r="T123" s="518"/>
      <c r="U123" s="519"/>
      <c r="V123" s="520">
        <f>V133+V153</f>
        <v>0</v>
      </c>
      <c r="W123" s="521"/>
      <c r="X123" s="53"/>
      <c r="Y123" s="518"/>
      <c r="Z123" s="519"/>
      <c r="AA123" s="520">
        <f>AA133+AA153</f>
        <v>0</v>
      </c>
      <c r="AB123" s="521"/>
      <c r="AC123" s="53"/>
      <c r="AD123" s="518"/>
      <c r="AE123" s="519"/>
      <c r="AF123" s="520">
        <f>AF133+AF153</f>
        <v>0</v>
      </c>
      <c r="AG123" s="521"/>
      <c r="AH123" s="53"/>
      <c r="AI123" s="518"/>
      <c r="AJ123" s="519"/>
      <c r="AK123" s="520">
        <f>AK133+AK153</f>
        <v>0</v>
      </c>
      <c r="AL123" s="521"/>
      <c r="AM123" s="53"/>
      <c r="AN123" s="518"/>
      <c r="AO123" s="519"/>
      <c r="AP123" s="520">
        <f>AP133+AP153</f>
        <v>0</v>
      </c>
      <c r="AQ123" s="521"/>
      <c r="AR123" s="53"/>
      <c r="AS123" s="518"/>
      <c r="AT123" s="519"/>
      <c r="AU123" s="520">
        <f>AU133+AU153</f>
        <v>0</v>
      </c>
      <c r="AV123" s="521"/>
      <c r="AW123" s="53"/>
      <c r="AX123" s="518"/>
      <c r="AY123" s="519"/>
      <c r="AZ123" s="520">
        <f>AZ133+AZ153</f>
        <v>0</v>
      </c>
      <c r="BA123" s="521"/>
      <c r="BB123" s="53"/>
      <c r="BC123" s="518"/>
      <c r="BD123" s="519"/>
      <c r="BE123" s="520">
        <f>BE133+BE153</f>
        <v>0</v>
      </c>
      <c r="BF123" s="521"/>
      <c r="BG123" s="53"/>
      <c r="BH123" s="518"/>
      <c r="BI123" s="519"/>
      <c r="BJ123" s="520">
        <f>BJ133+BJ153</f>
        <v>0</v>
      </c>
      <c r="BK123" s="521"/>
      <c r="BL123" s="53"/>
      <c r="BM123" s="518"/>
      <c r="BN123" s="519"/>
      <c r="BO123" s="520">
        <f>BO133+BO153</f>
        <v>0</v>
      </c>
      <c r="BP123" s="521"/>
      <c r="BQ123" s="53"/>
      <c r="BR123" s="518"/>
      <c r="BS123" s="519"/>
      <c r="BT123" s="520">
        <f>BT133+BT128+BT153+BT138+BT143+BT148</f>
        <v>0</v>
      </c>
      <c r="BU123" s="521"/>
      <c r="BV123" s="54"/>
      <c r="BW123" s="465"/>
      <c r="BX123" s="410"/>
      <c r="BY123" s="410"/>
    </row>
    <row r="124" spans="1:77" hidden="1" x14ac:dyDescent="0.2">
      <c r="A124" s="377"/>
      <c r="B124" s="377"/>
      <c r="D124" s="465" t="s">
        <v>467</v>
      </c>
      <c r="E124" s="417"/>
      <c r="F124" s="417"/>
      <c r="G124" s="53">
        <f>G134+G154</f>
        <v>0</v>
      </c>
      <c r="H124" s="52"/>
      <c r="I124" s="53"/>
      <c r="J124" s="518"/>
      <c r="K124" s="518"/>
      <c r="L124" s="53">
        <f>L134+L154</f>
        <v>0</v>
      </c>
      <c r="M124" s="52"/>
      <c r="N124" s="53"/>
      <c r="O124" s="518"/>
      <c r="P124" s="518"/>
      <c r="Q124" s="53">
        <f>Q134+Q154</f>
        <v>0</v>
      </c>
      <c r="R124" s="52"/>
      <c r="S124" s="53"/>
      <c r="T124" s="518"/>
      <c r="U124" s="518"/>
      <c r="V124" s="53">
        <f>V134+V154</f>
        <v>0</v>
      </c>
      <c r="W124" s="52"/>
      <c r="X124" s="53"/>
      <c r="Y124" s="518"/>
      <c r="Z124" s="518"/>
      <c r="AA124" s="53">
        <f>AA134+AA154</f>
        <v>0</v>
      </c>
      <c r="AB124" s="52"/>
      <c r="AC124" s="53"/>
      <c r="AD124" s="518"/>
      <c r="AE124" s="518"/>
      <c r="AF124" s="53">
        <f>AF134+AF154</f>
        <v>0</v>
      </c>
      <c r="AG124" s="52"/>
      <c r="AH124" s="53"/>
      <c r="AI124" s="518"/>
      <c r="AJ124" s="518"/>
      <c r="AK124" s="53">
        <f>AK134+AK154</f>
        <v>0</v>
      </c>
      <c r="AL124" s="52"/>
      <c r="AM124" s="53"/>
      <c r="AN124" s="518"/>
      <c r="AO124" s="518"/>
      <c r="AP124" s="53">
        <f>AP134+AP154</f>
        <v>0</v>
      </c>
      <c r="AQ124" s="52"/>
      <c r="AR124" s="53"/>
      <c r="AS124" s="518"/>
      <c r="AT124" s="518"/>
      <c r="AU124" s="53">
        <f>AU134+AU154</f>
        <v>0</v>
      </c>
      <c r="AV124" s="52"/>
      <c r="AW124" s="53"/>
      <c r="AX124" s="518"/>
      <c r="AY124" s="518"/>
      <c r="AZ124" s="53">
        <f>AZ134+AZ154</f>
        <v>0</v>
      </c>
      <c r="BA124" s="52"/>
      <c r="BB124" s="53"/>
      <c r="BC124" s="518"/>
      <c r="BD124" s="518"/>
      <c r="BE124" s="53">
        <f>BE134+BE154</f>
        <v>0</v>
      </c>
      <c r="BF124" s="52"/>
      <c r="BG124" s="53"/>
      <c r="BH124" s="518"/>
      <c r="BI124" s="518"/>
      <c r="BJ124" s="53">
        <f>BJ134+BJ154</f>
        <v>0</v>
      </c>
      <c r="BK124" s="52"/>
      <c r="BL124" s="53"/>
      <c r="BM124" s="518"/>
      <c r="BN124" s="518"/>
      <c r="BO124" s="53">
        <f>BO134+BO154</f>
        <v>0</v>
      </c>
      <c r="BP124" s="52"/>
      <c r="BQ124" s="53"/>
      <c r="BR124" s="518"/>
      <c r="BS124" s="518"/>
      <c r="BT124" s="53">
        <f>BT134+BT129+BT139+BT144+BT154+BT149</f>
        <v>0</v>
      </c>
      <c r="BU124" s="52"/>
      <c r="BV124" s="54"/>
      <c r="BW124" s="465"/>
      <c r="BX124" s="410"/>
      <c r="BY124" s="410"/>
    </row>
    <row r="125" spans="1:77" hidden="1" x14ac:dyDescent="0.2">
      <c r="A125" s="377"/>
      <c r="B125" s="377"/>
      <c r="D125" s="465" t="s">
        <v>468</v>
      </c>
      <c r="E125" s="417"/>
      <c r="F125" s="478"/>
      <c r="G125" s="102">
        <f>G135+G155</f>
        <v>0</v>
      </c>
      <c r="H125" s="101"/>
      <c r="I125" s="53"/>
      <c r="J125" s="518"/>
      <c r="K125" s="522"/>
      <c r="L125" s="102">
        <f>L135+L155</f>
        <v>0</v>
      </c>
      <c r="M125" s="101"/>
      <c r="N125" s="53"/>
      <c r="O125" s="518"/>
      <c r="P125" s="522"/>
      <c r="Q125" s="102">
        <f>Q135+Q155</f>
        <v>0</v>
      </c>
      <c r="R125" s="101"/>
      <c r="S125" s="53"/>
      <c r="T125" s="518"/>
      <c r="U125" s="522"/>
      <c r="V125" s="102">
        <f>V135+V155</f>
        <v>0</v>
      </c>
      <c r="W125" s="101"/>
      <c r="X125" s="53"/>
      <c r="Y125" s="518"/>
      <c r="Z125" s="522"/>
      <c r="AA125" s="102">
        <f>AA135+AA155</f>
        <v>0</v>
      </c>
      <c r="AB125" s="101"/>
      <c r="AC125" s="53"/>
      <c r="AD125" s="518"/>
      <c r="AE125" s="522"/>
      <c r="AF125" s="102">
        <f>AF135+AF155</f>
        <v>0</v>
      </c>
      <c r="AG125" s="101"/>
      <c r="AH125" s="53"/>
      <c r="AI125" s="518"/>
      <c r="AJ125" s="522"/>
      <c r="AK125" s="102">
        <f>AK135+AK155</f>
        <v>0</v>
      </c>
      <c r="AL125" s="101"/>
      <c r="AM125" s="53"/>
      <c r="AN125" s="518"/>
      <c r="AO125" s="522"/>
      <c r="AP125" s="102">
        <f>AP135+AP155</f>
        <v>0</v>
      </c>
      <c r="AQ125" s="101"/>
      <c r="AR125" s="53"/>
      <c r="AS125" s="518"/>
      <c r="AT125" s="522"/>
      <c r="AU125" s="102">
        <f>AU135+AU155</f>
        <v>0</v>
      </c>
      <c r="AV125" s="101"/>
      <c r="AW125" s="53"/>
      <c r="AX125" s="518"/>
      <c r="AY125" s="522"/>
      <c r="AZ125" s="102">
        <f>AZ135+AZ155</f>
        <v>0</v>
      </c>
      <c r="BA125" s="101"/>
      <c r="BB125" s="53"/>
      <c r="BC125" s="518"/>
      <c r="BD125" s="522"/>
      <c r="BE125" s="102">
        <f>BE135+BE155</f>
        <v>0</v>
      </c>
      <c r="BF125" s="101"/>
      <c r="BG125" s="53"/>
      <c r="BH125" s="518"/>
      <c r="BI125" s="522"/>
      <c r="BJ125" s="102">
        <f>BJ135+BJ155</f>
        <v>0</v>
      </c>
      <c r="BK125" s="101"/>
      <c r="BL125" s="53"/>
      <c r="BM125" s="518"/>
      <c r="BN125" s="522"/>
      <c r="BO125" s="102">
        <f>BO135+BO155</f>
        <v>0</v>
      </c>
      <c r="BP125" s="101"/>
      <c r="BQ125" s="53"/>
      <c r="BR125" s="518"/>
      <c r="BS125" s="522"/>
      <c r="BT125" s="102">
        <f>BT135+BT130+BT155+BT140+BT145+BT150</f>
        <v>0</v>
      </c>
      <c r="BU125" s="101"/>
      <c r="BV125" s="54"/>
      <c r="BW125" s="465"/>
      <c r="BX125" s="410"/>
      <c r="BY125" s="410"/>
    </row>
    <row r="126" spans="1:77" hidden="1" x14ac:dyDescent="0.2">
      <c r="A126" s="377"/>
      <c r="B126" s="377"/>
      <c r="D126" s="465"/>
      <c r="E126" s="417"/>
      <c r="F126" s="377"/>
      <c r="G126" s="53"/>
      <c r="H126" s="53"/>
      <c r="I126" s="53"/>
      <c r="J126" s="518"/>
      <c r="K126" s="53"/>
      <c r="L126" s="53"/>
      <c r="M126" s="53"/>
      <c r="N126" s="53"/>
      <c r="O126" s="518"/>
      <c r="P126" s="53"/>
      <c r="Q126" s="53"/>
      <c r="R126" s="53"/>
      <c r="S126" s="53"/>
      <c r="T126" s="518"/>
      <c r="U126" s="53"/>
      <c r="V126" s="53"/>
      <c r="W126" s="53"/>
      <c r="X126" s="53"/>
      <c r="Y126" s="518"/>
      <c r="Z126" s="53"/>
      <c r="AA126" s="53"/>
      <c r="AB126" s="53"/>
      <c r="AC126" s="53"/>
      <c r="AD126" s="518"/>
      <c r="AE126" s="53"/>
      <c r="AF126" s="53"/>
      <c r="AG126" s="53"/>
      <c r="AH126" s="53"/>
      <c r="AI126" s="518"/>
      <c r="AJ126" s="53"/>
      <c r="AK126" s="53"/>
      <c r="AL126" s="53"/>
      <c r="AM126" s="53"/>
      <c r="AN126" s="518"/>
      <c r="AO126" s="53"/>
      <c r="AP126" s="53"/>
      <c r="AQ126" s="53"/>
      <c r="AR126" s="53"/>
      <c r="AS126" s="518"/>
      <c r="AT126" s="53"/>
      <c r="AU126" s="53"/>
      <c r="AV126" s="53"/>
      <c r="AW126" s="53"/>
      <c r="AX126" s="518"/>
      <c r="AY126" s="53"/>
      <c r="AZ126" s="53"/>
      <c r="BA126" s="53"/>
      <c r="BB126" s="53"/>
      <c r="BC126" s="518"/>
      <c r="BD126" s="53"/>
      <c r="BE126" s="53"/>
      <c r="BF126" s="53"/>
      <c r="BG126" s="53"/>
      <c r="BH126" s="518"/>
      <c r="BI126" s="53"/>
      <c r="BJ126" s="53"/>
      <c r="BK126" s="53"/>
      <c r="BL126" s="53"/>
      <c r="BM126" s="518"/>
      <c r="BN126" s="53"/>
      <c r="BO126" s="53"/>
      <c r="BP126" s="53"/>
      <c r="BQ126" s="53"/>
      <c r="BR126" s="518"/>
      <c r="BS126" s="53"/>
      <c r="BT126" s="53"/>
      <c r="BU126" s="53"/>
      <c r="BV126" s="54"/>
      <c r="BW126" s="465"/>
      <c r="BX126" s="410"/>
      <c r="BY126" s="410"/>
    </row>
    <row r="127" spans="1:77" hidden="1" x14ac:dyDescent="0.2">
      <c r="A127" s="377"/>
      <c r="B127" s="377"/>
      <c r="D127" s="465" t="s">
        <v>469</v>
      </c>
      <c r="E127" s="417"/>
      <c r="F127" s="377"/>
      <c r="G127" s="53">
        <f>SUM(G128:G130)</f>
        <v>0</v>
      </c>
      <c r="H127" s="53"/>
      <c r="I127" s="53"/>
      <c r="J127" s="518"/>
      <c r="K127" s="53"/>
      <c r="L127" s="53">
        <f>SUM(L128:L130)</f>
        <v>0</v>
      </c>
      <c r="M127" s="53"/>
      <c r="N127" s="53"/>
      <c r="O127" s="518"/>
      <c r="P127" s="53"/>
      <c r="Q127" s="53">
        <f>SUM(Q128:Q130)</f>
        <v>0</v>
      </c>
      <c r="R127" s="53"/>
      <c r="S127" s="53"/>
      <c r="T127" s="518"/>
      <c r="U127" s="53"/>
      <c r="V127" s="53">
        <f>SUM(V128:V130)</f>
        <v>0</v>
      </c>
      <c r="W127" s="53"/>
      <c r="X127" s="53"/>
      <c r="Y127" s="518"/>
      <c r="Z127" s="53"/>
      <c r="AA127" s="53">
        <f>SUM(AA128:AA130)</f>
        <v>0</v>
      </c>
      <c r="AB127" s="53"/>
      <c r="AC127" s="53"/>
      <c r="AD127" s="518"/>
      <c r="AE127" s="53"/>
      <c r="AF127" s="53">
        <f>SUM(AF128:AF130)</f>
        <v>0</v>
      </c>
      <c r="AG127" s="53"/>
      <c r="AH127" s="53"/>
      <c r="AI127" s="518"/>
      <c r="AJ127" s="53"/>
      <c r="AK127" s="53">
        <f>SUM(AK128:AK130)</f>
        <v>0</v>
      </c>
      <c r="AL127" s="53"/>
      <c r="AM127" s="53"/>
      <c r="AN127" s="518"/>
      <c r="AO127" s="53"/>
      <c r="AP127" s="53">
        <f>SUM(AP128:AP130)</f>
        <v>0</v>
      </c>
      <c r="AQ127" s="53"/>
      <c r="AR127" s="53"/>
      <c r="AS127" s="518"/>
      <c r="AT127" s="53"/>
      <c r="AU127" s="53">
        <f>SUM(AU128:AU130)</f>
        <v>0</v>
      </c>
      <c r="AV127" s="53"/>
      <c r="AW127" s="53"/>
      <c r="AX127" s="518"/>
      <c r="AY127" s="53"/>
      <c r="AZ127" s="53">
        <f>SUM(AZ128:AZ130)</f>
        <v>0</v>
      </c>
      <c r="BA127" s="53"/>
      <c r="BB127" s="53"/>
      <c r="BC127" s="518"/>
      <c r="BD127" s="53"/>
      <c r="BE127" s="53">
        <f>SUM(BE128:BE130)</f>
        <v>0</v>
      </c>
      <c r="BF127" s="53"/>
      <c r="BG127" s="53"/>
      <c r="BH127" s="518"/>
      <c r="BI127" s="53"/>
      <c r="BJ127" s="53">
        <f>SUM(BJ128:BJ130)</f>
        <v>0</v>
      </c>
      <c r="BK127" s="53"/>
      <c r="BL127" s="53"/>
      <c r="BM127" s="518"/>
      <c r="BN127" s="53"/>
      <c r="BO127" s="53">
        <f>SUM(BO128:BO130)</f>
        <v>0</v>
      </c>
      <c r="BP127" s="53"/>
      <c r="BQ127" s="53"/>
      <c r="BR127" s="518"/>
      <c r="BS127" s="53"/>
      <c r="BT127" s="53">
        <f>SUM(BT128:BT130)</f>
        <v>0</v>
      </c>
      <c r="BU127" s="53"/>
      <c r="BV127" s="54"/>
      <c r="BW127" s="465"/>
      <c r="BX127" s="410"/>
      <c r="BY127" s="410"/>
    </row>
    <row r="128" spans="1:77" hidden="1" x14ac:dyDescent="0.2">
      <c r="A128" s="377"/>
      <c r="B128" s="377"/>
      <c r="D128" s="465" t="s">
        <v>378</v>
      </c>
      <c r="E128" s="417"/>
      <c r="F128" s="469"/>
      <c r="G128" s="520">
        <v>0</v>
      </c>
      <c r="H128" s="521"/>
      <c r="I128" s="53"/>
      <c r="J128" s="518"/>
      <c r="K128" s="519"/>
      <c r="L128" s="520">
        <v>0</v>
      </c>
      <c r="M128" s="521"/>
      <c r="N128" s="53"/>
      <c r="O128" s="518"/>
      <c r="P128" s="519"/>
      <c r="Q128" s="520">
        <v>0</v>
      </c>
      <c r="R128" s="521"/>
      <c r="S128" s="53"/>
      <c r="T128" s="518"/>
      <c r="U128" s="519"/>
      <c r="V128" s="520">
        <v>0</v>
      </c>
      <c r="W128" s="521"/>
      <c r="X128" s="53"/>
      <c r="Y128" s="518"/>
      <c r="Z128" s="519"/>
      <c r="AA128" s="520">
        <v>0</v>
      </c>
      <c r="AB128" s="521"/>
      <c r="AC128" s="53"/>
      <c r="AD128" s="518"/>
      <c r="AE128" s="519"/>
      <c r="AF128" s="520">
        <v>0</v>
      </c>
      <c r="AG128" s="521"/>
      <c r="AH128" s="53"/>
      <c r="AI128" s="518"/>
      <c r="AJ128" s="519"/>
      <c r="AK128" s="520">
        <v>0</v>
      </c>
      <c r="AL128" s="521"/>
      <c r="AM128" s="53"/>
      <c r="AN128" s="518"/>
      <c r="AO128" s="519"/>
      <c r="AP128" s="520">
        <v>0</v>
      </c>
      <c r="AQ128" s="521"/>
      <c r="AR128" s="53"/>
      <c r="AS128" s="518"/>
      <c r="AT128" s="519"/>
      <c r="AU128" s="520">
        <v>0</v>
      </c>
      <c r="AV128" s="521"/>
      <c r="AW128" s="53"/>
      <c r="AX128" s="518"/>
      <c r="AY128" s="519"/>
      <c r="AZ128" s="520">
        <v>0</v>
      </c>
      <c r="BA128" s="521"/>
      <c r="BB128" s="53"/>
      <c r="BC128" s="518"/>
      <c r="BD128" s="519"/>
      <c r="BE128" s="520">
        <v>0</v>
      </c>
      <c r="BF128" s="521"/>
      <c r="BG128" s="53"/>
      <c r="BH128" s="518"/>
      <c r="BI128" s="519"/>
      <c r="BJ128" s="520">
        <v>0</v>
      </c>
      <c r="BK128" s="521"/>
      <c r="BL128" s="53"/>
      <c r="BM128" s="518"/>
      <c r="BN128" s="519"/>
      <c r="BO128" s="520">
        <v>0</v>
      </c>
      <c r="BP128" s="521"/>
      <c r="BQ128" s="53"/>
      <c r="BR128" s="518"/>
      <c r="BS128" s="519"/>
      <c r="BT128" s="520">
        <f>SUM(L128:BO128)</f>
        <v>0</v>
      </c>
      <c r="BU128" s="521"/>
      <c r="BV128" s="54"/>
      <c r="BW128" s="465"/>
      <c r="BX128" s="410"/>
      <c r="BY128" s="410"/>
    </row>
    <row r="129" spans="1:77" hidden="1" x14ac:dyDescent="0.2">
      <c r="A129" s="377"/>
      <c r="B129" s="377"/>
      <c r="D129" s="465" t="s">
        <v>467</v>
      </c>
      <c r="E129" s="417"/>
      <c r="F129" s="417"/>
      <c r="G129" s="53">
        <v>0</v>
      </c>
      <c r="H129" s="52"/>
      <c r="I129" s="53"/>
      <c r="J129" s="518"/>
      <c r="K129" s="518"/>
      <c r="L129" s="53">
        <v>0</v>
      </c>
      <c r="M129" s="52"/>
      <c r="N129" s="53"/>
      <c r="O129" s="518"/>
      <c r="P129" s="518"/>
      <c r="Q129" s="53">
        <v>0</v>
      </c>
      <c r="R129" s="52"/>
      <c r="S129" s="53"/>
      <c r="T129" s="518"/>
      <c r="U129" s="518"/>
      <c r="V129" s="53">
        <v>0</v>
      </c>
      <c r="W129" s="52"/>
      <c r="X129" s="53"/>
      <c r="Y129" s="518"/>
      <c r="Z129" s="518"/>
      <c r="AA129" s="53">
        <v>0</v>
      </c>
      <c r="AB129" s="52"/>
      <c r="AC129" s="53"/>
      <c r="AD129" s="518"/>
      <c r="AE129" s="518"/>
      <c r="AF129" s="53">
        <v>0</v>
      </c>
      <c r="AG129" s="52"/>
      <c r="AH129" s="53"/>
      <c r="AI129" s="518"/>
      <c r="AJ129" s="518"/>
      <c r="AK129" s="53">
        <v>0</v>
      </c>
      <c r="AL129" s="52"/>
      <c r="AM129" s="53"/>
      <c r="AN129" s="518"/>
      <c r="AO129" s="518"/>
      <c r="AP129" s="53">
        <v>0</v>
      </c>
      <c r="AQ129" s="52"/>
      <c r="AR129" s="53"/>
      <c r="AS129" s="518"/>
      <c r="AT129" s="518"/>
      <c r="AU129" s="53">
        <v>0</v>
      </c>
      <c r="AV129" s="52"/>
      <c r="AW129" s="53"/>
      <c r="AX129" s="518"/>
      <c r="AY129" s="518"/>
      <c r="AZ129" s="53">
        <v>0</v>
      </c>
      <c r="BA129" s="52"/>
      <c r="BB129" s="53"/>
      <c r="BC129" s="518"/>
      <c r="BD129" s="518"/>
      <c r="BE129" s="53">
        <v>0</v>
      </c>
      <c r="BF129" s="52"/>
      <c r="BG129" s="53"/>
      <c r="BH129" s="518"/>
      <c r="BI129" s="518"/>
      <c r="BJ129" s="53">
        <v>0</v>
      </c>
      <c r="BK129" s="52"/>
      <c r="BL129" s="53"/>
      <c r="BM129" s="518"/>
      <c r="BN129" s="518"/>
      <c r="BO129" s="53">
        <v>0</v>
      </c>
      <c r="BP129" s="52"/>
      <c r="BQ129" s="53"/>
      <c r="BR129" s="518"/>
      <c r="BS129" s="518"/>
      <c r="BT129" s="53">
        <f>SUM(L129:BO129)</f>
        <v>0</v>
      </c>
      <c r="BU129" s="52"/>
      <c r="BV129" s="54"/>
      <c r="BW129" s="465"/>
      <c r="BX129" s="410"/>
      <c r="BY129" s="410"/>
    </row>
    <row r="130" spans="1:77" hidden="1" x14ac:dyDescent="0.2">
      <c r="A130" s="377"/>
      <c r="B130" s="377"/>
      <c r="D130" s="465" t="s">
        <v>468</v>
      </c>
      <c r="E130" s="417"/>
      <c r="F130" s="478"/>
      <c r="G130" s="102">
        <v>0</v>
      </c>
      <c r="H130" s="101"/>
      <c r="I130" s="53"/>
      <c r="J130" s="518"/>
      <c r="K130" s="522"/>
      <c r="L130" s="102">
        <v>0</v>
      </c>
      <c r="M130" s="101"/>
      <c r="N130" s="53"/>
      <c r="O130" s="518"/>
      <c r="P130" s="522"/>
      <c r="Q130" s="102">
        <v>0</v>
      </c>
      <c r="R130" s="101"/>
      <c r="S130" s="53"/>
      <c r="T130" s="518"/>
      <c r="U130" s="522"/>
      <c r="V130" s="102">
        <v>0</v>
      </c>
      <c r="W130" s="101"/>
      <c r="X130" s="53"/>
      <c r="Y130" s="518"/>
      <c r="Z130" s="522"/>
      <c r="AA130" s="102">
        <v>0</v>
      </c>
      <c r="AB130" s="101"/>
      <c r="AC130" s="53"/>
      <c r="AD130" s="518"/>
      <c r="AE130" s="522"/>
      <c r="AF130" s="102">
        <v>0</v>
      </c>
      <c r="AG130" s="101"/>
      <c r="AH130" s="53"/>
      <c r="AI130" s="518"/>
      <c r="AJ130" s="522"/>
      <c r="AK130" s="102">
        <v>0</v>
      </c>
      <c r="AL130" s="101"/>
      <c r="AM130" s="53"/>
      <c r="AN130" s="518"/>
      <c r="AO130" s="522"/>
      <c r="AP130" s="102">
        <v>0</v>
      </c>
      <c r="AQ130" s="101"/>
      <c r="AR130" s="53"/>
      <c r="AS130" s="518"/>
      <c r="AT130" s="522"/>
      <c r="AU130" s="102">
        <v>0</v>
      </c>
      <c r="AV130" s="101"/>
      <c r="AW130" s="53"/>
      <c r="AX130" s="518"/>
      <c r="AY130" s="522"/>
      <c r="AZ130" s="102">
        <v>0</v>
      </c>
      <c r="BA130" s="101"/>
      <c r="BB130" s="53"/>
      <c r="BC130" s="518"/>
      <c r="BD130" s="522"/>
      <c r="BE130" s="102">
        <v>0</v>
      </c>
      <c r="BF130" s="101"/>
      <c r="BG130" s="53"/>
      <c r="BH130" s="518"/>
      <c r="BI130" s="522"/>
      <c r="BJ130" s="102">
        <v>0</v>
      </c>
      <c r="BK130" s="101"/>
      <c r="BL130" s="53"/>
      <c r="BM130" s="518"/>
      <c r="BN130" s="522"/>
      <c r="BO130" s="102">
        <v>0</v>
      </c>
      <c r="BP130" s="101"/>
      <c r="BQ130" s="53"/>
      <c r="BR130" s="518"/>
      <c r="BS130" s="522"/>
      <c r="BT130" s="102">
        <f>SUM(L130:BO130)</f>
        <v>0</v>
      </c>
      <c r="BU130" s="101"/>
      <c r="BV130" s="54"/>
      <c r="BW130" s="465"/>
      <c r="BX130" s="410"/>
      <c r="BY130" s="410"/>
    </row>
    <row r="131" spans="1:77" hidden="1" x14ac:dyDescent="0.2">
      <c r="A131" s="377"/>
      <c r="B131" s="377"/>
      <c r="D131" s="465"/>
      <c r="E131" s="417"/>
      <c r="F131" s="377"/>
      <c r="G131" s="53"/>
      <c r="H131" s="53"/>
      <c r="I131" s="53"/>
      <c r="J131" s="518"/>
      <c r="K131" s="53"/>
      <c r="L131" s="53"/>
      <c r="M131" s="53"/>
      <c r="N131" s="53"/>
      <c r="O131" s="518"/>
      <c r="P131" s="53"/>
      <c r="Q131" s="53"/>
      <c r="R131" s="53"/>
      <c r="S131" s="53"/>
      <c r="T131" s="518"/>
      <c r="U131" s="53"/>
      <c r="V131" s="53"/>
      <c r="W131" s="53"/>
      <c r="X131" s="53"/>
      <c r="Y131" s="518"/>
      <c r="Z131" s="53"/>
      <c r="AA131" s="53"/>
      <c r="AB131" s="53"/>
      <c r="AC131" s="53"/>
      <c r="AD131" s="518"/>
      <c r="AE131" s="53"/>
      <c r="AF131" s="53"/>
      <c r="AG131" s="53"/>
      <c r="AH131" s="53"/>
      <c r="AI131" s="518"/>
      <c r="AJ131" s="53"/>
      <c r="AK131" s="53"/>
      <c r="AL131" s="53"/>
      <c r="AM131" s="53"/>
      <c r="AN131" s="518"/>
      <c r="AO131" s="53"/>
      <c r="AP131" s="53"/>
      <c r="AQ131" s="53"/>
      <c r="AR131" s="53"/>
      <c r="AS131" s="518"/>
      <c r="AT131" s="53"/>
      <c r="AU131" s="53"/>
      <c r="AV131" s="53"/>
      <c r="AW131" s="53"/>
      <c r="AX131" s="518"/>
      <c r="AY131" s="53"/>
      <c r="AZ131" s="53"/>
      <c r="BA131" s="53"/>
      <c r="BB131" s="53"/>
      <c r="BC131" s="518"/>
      <c r="BD131" s="53"/>
      <c r="BE131" s="53"/>
      <c r="BF131" s="53"/>
      <c r="BG131" s="53"/>
      <c r="BH131" s="518"/>
      <c r="BI131" s="53"/>
      <c r="BJ131" s="53"/>
      <c r="BK131" s="53"/>
      <c r="BL131" s="53"/>
      <c r="BM131" s="518"/>
      <c r="BN131" s="53"/>
      <c r="BO131" s="53"/>
      <c r="BP131" s="53"/>
      <c r="BQ131" s="53"/>
      <c r="BR131" s="518"/>
      <c r="BS131" s="53"/>
      <c r="BT131" s="53"/>
      <c r="BU131" s="53"/>
      <c r="BV131" s="54"/>
      <c r="BW131" s="465"/>
      <c r="BX131" s="410"/>
      <c r="BY131" s="410"/>
    </row>
    <row r="132" spans="1:77" hidden="1" x14ac:dyDescent="0.2">
      <c r="A132" s="377"/>
      <c r="B132" s="377"/>
      <c r="D132" s="465" t="s">
        <v>470</v>
      </c>
      <c r="E132" s="417"/>
      <c r="F132" s="377"/>
      <c r="G132" s="53">
        <f>SUM(G133:G135)</f>
        <v>0</v>
      </c>
      <c r="H132" s="53"/>
      <c r="I132" s="53"/>
      <c r="J132" s="518"/>
      <c r="K132" s="53"/>
      <c r="L132" s="53">
        <f>SUM(L133:L135)</f>
        <v>0</v>
      </c>
      <c r="M132" s="53"/>
      <c r="N132" s="53"/>
      <c r="O132" s="518"/>
      <c r="P132" s="53"/>
      <c r="Q132" s="53">
        <f>SUM(Q133:Q135)</f>
        <v>0</v>
      </c>
      <c r="R132" s="53"/>
      <c r="S132" s="53"/>
      <c r="T132" s="518"/>
      <c r="U132" s="53"/>
      <c r="V132" s="53">
        <f>SUM(V133:V135)</f>
        <v>0</v>
      </c>
      <c r="W132" s="53"/>
      <c r="X132" s="53"/>
      <c r="Y132" s="518"/>
      <c r="Z132" s="53"/>
      <c r="AA132" s="53">
        <f>SUM(AA133:AA135)</f>
        <v>0</v>
      </c>
      <c r="AB132" s="53"/>
      <c r="AC132" s="53"/>
      <c r="AD132" s="518"/>
      <c r="AE132" s="53"/>
      <c r="AF132" s="53">
        <f>SUM(AF133:AF135)</f>
        <v>0</v>
      </c>
      <c r="AG132" s="53"/>
      <c r="AH132" s="53"/>
      <c r="AI132" s="518"/>
      <c r="AJ132" s="53"/>
      <c r="AK132" s="53">
        <f>SUM(AK133:AK135)</f>
        <v>0</v>
      </c>
      <c r="AL132" s="53"/>
      <c r="AM132" s="53"/>
      <c r="AN132" s="518"/>
      <c r="AO132" s="53"/>
      <c r="AP132" s="53">
        <f>SUM(AP133:AP135)</f>
        <v>0</v>
      </c>
      <c r="AQ132" s="53"/>
      <c r="AR132" s="53"/>
      <c r="AS132" s="518"/>
      <c r="AT132" s="53"/>
      <c r="AU132" s="53">
        <f>SUM(AU133:AU135)</f>
        <v>0</v>
      </c>
      <c r="AV132" s="53"/>
      <c r="AW132" s="53"/>
      <c r="AX132" s="518"/>
      <c r="AY132" s="53"/>
      <c r="AZ132" s="53">
        <f>SUM(AZ133:AZ135)</f>
        <v>0</v>
      </c>
      <c r="BA132" s="53"/>
      <c r="BB132" s="53"/>
      <c r="BC132" s="518"/>
      <c r="BD132" s="53"/>
      <c r="BE132" s="53">
        <f>SUM(BE133:BE135)</f>
        <v>0</v>
      </c>
      <c r="BF132" s="53"/>
      <c r="BG132" s="53"/>
      <c r="BH132" s="518"/>
      <c r="BI132" s="53"/>
      <c r="BJ132" s="53">
        <f>SUM(BJ133:BJ135)</f>
        <v>0</v>
      </c>
      <c r="BK132" s="53"/>
      <c r="BL132" s="53"/>
      <c r="BM132" s="518"/>
      <c r="BN132" s="53"/>
      <c r="BO132" s="53">
        <f>SUM(BO133:BO135)</f>
        <v>0</v>
      </c>
      <c r="BP132" s="53"/>
      <c r="BQ132" s="53"/>
      <c r="BR132" s="518"/>
      <c r="BS132" s="53"/>
      <c r="BT132" s="53">
        <f>SUM(BT133:BT135)</f>
        <v>0</v>
      </c>
      <c r="BU132" s="53"/>
      <c r="BV132" s="54"/>
      <c r="BW132" s="465"/>
      <c r="BX132" s="410"/>
      <c r="BY132" s="410"/>
    </row>
    <row r="133" spans="1:77" hidden="1" x14ac:dyDescent="0.2">
      <c r="A133" s="377"/>
      <c r="B133" s="377"/>
      <c r="D133" s="465" t="s">
        <v>378</v>
      </c>
      <c r="E133" s="417"/>
      <c r="F133" s="469"/>
      <c r="G133" s="520">
        <v>0</v>
      </c>
      <c r="H133" s="521"/>
      <c r="I133" s="53"/>
      <c r="J133" s="518"/>
      <c r="K133" s="519"/>
      <c r="L133" s="520">
        <v>0</v>
      </c>
      <c r="M133" s="521"/>
      <c r="N133" s="53"/>
      <c r="O133" s="518"/>
      <c r="P133" s="519"/>
      <c r="Q133" s="520">
        <v>0</v>
      </c>
      <c r="R133" s="521"/>
      <c r="S133" s="53"/>
      <c r="T133" s="518"/>
      <c r="U133" s="519"/>
      <c r="V133" s="520">
        <v>0</v>
      </c>
      <c r="W133" s="521"/>
      <c r="X133" s="53"/>
      <c r="Y133" s="518"/>
      <c r="Z133" s="519"/>
      <c r="AA133" s="520">
        <v>0</v>
      </c>
      <c r="AB133" s="521"/>
      <c r="AC133" s="53"/>
      <c r="AD133" s="518"/>
      <c r="AE133" s="519"/>
      <c r="AF133" s="520">
        <v>0</v>
      </c>
      <c r="AG133" s="521"/>
      <c r="AH133" s="53"/>
      <c r="AI133" s="518"/>
      <c r="AJ133" s="519"/>
      <c r="AK133" s="520">
        <v>0</v>
      </c>
      <c r="AL133" s="521"/>
      <c r="AM133" s="53"/>
      <c r="AN133" s="518"/>
      <c r="AO133" s="519"/>
      <c r="AP133" s="520">
        <v>0</v>
      </c>
      <c r="AQ133" s="521"/>
      <c r="AR133" s="53"/>
      <c r="AS133" s="518"/>
      <c r="AT133" s="519"/>
      <c r="AU133" s="520">
        <v>0</v>
      </c>
      <c r="AV133" s="521"/>
      <c r="AW133" s="53"/>
      <c r="AX133" s="518"/>
      <c r="AY133" s="519"/>
      <c r="AZ133" s="520">
        <v>0</v>
      </c>
      <c r="BA133" s="521"/>
      <c r="BB133" s="53"/>
      <c r="BC133" s="518"/>
      <c r="BD133" s="519"/>
      <c r="BE133" s="520">
        <v>0</v>
      </c>
      <c r="BF133" s="521"/>
      <c r="BG133" s="53"/>
      <c r="BH133" s="518"/>
      <c r="BI133" s="519"/>
      <c r="BJ133" s="520">
        <v>0</v>
      </c>
      <c r="BK133" s="521"/>
      <c r="BL133" s="53"/>
      <c r="BM133" s="518"/>
      <c r="BN133" s="519"/>
      <c r="BO133" s="520">
        <v>0</v>
      </c>
      <c r="BP133" s="521"/>
      <c r="BQ133" s="53"/>
      <c r="BR133" s="518"/>
      <c r="BS133" s="519"/>
      <c r="BT133" s="520">
        <f>SUM(L133:BO133)</f>
        <v>0</v>
      </c>
      <c r="BU133" s="521"/>
      <c r="BV133" s="54"/>
      <c r="BW133" s="465"/>
      <c r="BX133" s="410"/>
      <c r="BY133" s="410"/>
    </row>
    <row r="134" spans="1:77" hidden="1" x14ac:dyDescent="0.2">
      <c r="A134" s="377"/>
      <c r="B134" s="377"/>
      <c r="D134" s="465" t="s">
        <v>467</v>
      </c>
      <c r="E134" s="417"/>
      <c r="F134" s="417"/>
      <c r="G134" s="53">
        <v>0</v>
      </c>
      <c r="H134" s="52"/>
      <c r="I134" s="53"/>
      <c r="J134" s="518"/>
      <c r="K134" s="518"/>
      <c r="L134" s="53">
        <v>0</v>
      </c>
      <c r="M134" s="52"/>
      <c r="N134" s="53"/>
      <c r="O134" s="518"/>
      <c r="P134" s="518"/>
      <c r="Q134" s="53">
        <v>0</v>
      </c>
      <c r="R134" s="52"/>
      <c r="S134" s="53"/>
      <c r="T134" s="518"/>
      <c r="U134" s="518"/>
      <c r="V134" s="53">
        <v>0</v>
      </c>
      <c r="W134" s="52"/>
      <c r="X134" s="53"/>
      <c r="Y134" s="518"/>
      <c r="Z134" s="518"/>
      <c r="AA134" s="53">
        <v>0</v>
      </c>
      <c r="AB134" s="52"/>
      <c r="AC134" s="53"/>
      <c r="AD134" s="518"/>
      <c r="AE134" s="518"/>
      <c r="AF134" s="53">
        <v>0</v>
      </c>
      <c r="AG134" s="52"/>
      <c r="AH134" s="53"/>
      <c r="AI134" s="518"/>
      <c r="AJ134" s="518"/>
      <c r="AK134" s="53">
        <v>0</v>
      </c>
      <c r="AL134" s="52"/>
      <c r="AM134" s="53"/>
      <c r="AN134" s="518"/>
      <c r="AO134" s="518"/>
      <c r="AP134" s="53">
        <v>0</v>
      </c>
      <c r="AQ134" s="52"/>
      <c r="AR134" s="53"/>
      <c r="AS134" s="518"/>
      <c r="AT134" s="518"/>
      <c r="AU134" s="53">
        <v>0</v>
      </c>
      <c r="AV134" s="52"/>
      <c r="AW134" s="53"/>
      <c r="AX134" s="518"/>
      <c r="AY134" s="518"/>
      <c r="AZ134" s="53">
        <v>0</v>
      </c>
      <c r="BA134" s="52"/>
      <c r="BB134" s="53"/>
      <c r="BC134" s="518"/>
      <c r="BD134" s="518"/>
      <c r="BE134" s="53">
        <v>0</v>
      </c>
      <c r="BF134" s="52"/>
      <c r="BG134" s="53"/>
      <c r="BH134" s="518"/>
      <c r="BI134" s="518"/>
      <c r="BJ134" s="53">
        <v>0</v>
      </c>
      <c r="BK134" s="52"/>
      <c r="BL134" s="53"/>
      <c r="BM134" s="518"/>
      <c r="BN134" s="518"/>
      <c r="BO134" s="53">
        <v>0</v>
      </c>
      <c r="BP134" s="52"/>
      <c r="BQ134" s="53"/>
      <c r="BR134" s="518"/>
      <c r="BS134" s="518"/>
      <c r="BT134" s="53">
        <f>SUM(L134:BO134)</f>
        <v>0</v>
      </c>
      <c r="BU134" s="52"/>
      <c r="BV134" s="54"/>
      <c r="BW134" s="465"/>
      <c r="BX134" s="410"/>
      <c r="BY134" s="410"/>
    </row>
    <row r="135" spans="1:77" hidden="1" x14ac:dyDescent="0.2">
      <c r="A135" s="377"/>
      <c r="B135" s="377"/>
      <c r="D135" s="465" t="s">
        <v>468</v>
      </c>
      <c r="E135" s="417"/>
      <c r="F135" s="478"/>
      <c r="G135" s="102">
        <v>0</v>
      </c>
      <c r="H135" s="101"/>
      <c r="I135" s="53"/>
      <c r="J135" s="518"/>
      <c r="K135" s="522"/>
      <c r="L135" s="102">
        <v>0</v>
      </c>
      <c r="M135" s="101"/>
      <c r="N135" s="53"/>
      <c r="O135" s="518"/>
      <c r="P135" s="522"/>
      <c r="Q135" s="102">
        <v>0</v>
      </c>
      <c r="R135" s="101"/>
      <c r="S135" s="53"/>
      <c r="T135" s="518"/>
      <c r="U135" s="522"/>
      <c r="V135" s="102">
        <v>0</v>
      </c>
      <c r="W135" s="101"/>
      <c r="X135" s="53"/>
      <c r="Y135" s="518"/>
      <c r="Z135" s="522"/>
      <c r="AA135" s="102">
        <v>0</v>
      </c>
      <c r="AB135" s="101"/>
      <c r="AC135" s="53"/>
      <c r="AD135" s="518"/>
      <c r="AE135" s="522"/>
      <c r="AF135" s="102">
        <v>0</v>
      </c>
      <c r="AG135" s="101"/>
      <c r="AH135" s="53"/>
      <c r="AI135" s="518"/>
      <c r="AJ135" s="522"/>
      <c r="AK135" s="102">
        <v>0</v>
      </c>
      <c r="AL135" s="101"/>
      <c r="AM135" s="53"/>
      <c r="AN135" s="518"/>
      <c r="AO135" s="522"/>
      <c r="AP135" s="102">
        <v>0</v>
      </c>
      <c r="AQ135" s="101"/>
      <c r="AR135" s="53"/>
      <c r="AS135" s="518"/>
      <c r="AT135" s="522"/>
      <c r="AU135" s="102">
        <v>0</v>
      </c>
      <c r="AV135" s="101"/>
      <c r="AW135" s="53"/>
      <c r="AX135" s="518"/>
      <c r="AY135" s="522"/>
      <c r="AZ135" s="102">
        <v>0</v>
      </c>
      <c r="BA135" s="101"/>
      <c r="BB135" s="53"/>
      <c r="BC135" s="518"/>
      <c r="BD135" s="522"/>
      <c r="BE135" s="102">
        <v>0</v>
      </c>
      <c r="BF135" s="101"/>
      <c r="BG135" s="53"/>
      <c r="BH135" s="518"/>
      <c r="BI135" s="522"/>
      <c r="BJ135" s="102">
        <v>0</v>
      </c>
      <c r="BK135" s="101"/>
      <c r="BL135" s="53"/>
      <c r="BM135" s="518"/>
      <c r="BN135" s="522"/>
      <c r="BO135" s="102">
        <v>0</v>
      </c>
      <c r="BP135" s="101"/>
      <c r="BQ135" s="53"/>
      <c r="BR135" s="518"/>
      <c r="BS135" s="522"/>
      <c r="BT135" s="102">
        <f>SUM(L135:BO135)</f>
        <v>0</v>
      </c>
      <c r="BU135" s="101"/>
      <c r="BV135" s="54"/>
      <c r="BW135" s="465"/>
      <c r="BX135" s="410"/>
      <c r="BY135" s="410"/>
    </row>
    <row r="136" spans="1:77" hidden="1" x14ac:dyDescent="0.2">
      <c r="A136" s="377"/>
      <c r="B136" s="377"/>
      <c r="D136" s="465"/>
      <c r="E136" s="417"/>
      <c r="F136" s="377"/>
      <c r="G136" s="53"/>
      <c r="H136" s="53"/>
      <c r="I136" s="53"/>
      <c r="J136" s="518"/>
      <c r="K136" s="53"/>
      <c r="L136" s="53"/>
      <c r="M136" s="53"/>
      <c r="N136" s="53"/>
      <c r="O136" s="518"/>
      <c r="P136" s="53"/>
      <c r="Q136" s="53"/>
      <c r="R136" s="53"/>
      <c r="S136" s="53"/>
      <c r="T136" s="518"/>
      <c r="U136" s="53"/>
      <c r="V136" s="53"/>
      <c r="W136" s="53"/>
      <c r="X136" s="53"/>
      <c r="Y136" s="518"/>
      <c r="Z136" s="53"/>
      <c r="AA136" s="53"/>
      <c r="AB136" s="53"/>
      <c r="AC136" s="53"/>
      <c r="AD136" s="518"/>
      <c r="AE136" s="53"/>
      <c r="AF136" s="53"/>
      <c r="AG136" s="53"/>
      <c r="AH136" s="53"/>
      <c r="AI136" s="518"/>
      <c r="AJ136" s="53"/>
      <c r="AK136" s="53"/>
      <c r="AL136" s="53"/>
      <c r="AM136" s="53"/>
      <c r="AN136" s="518"/>
      <c r="AO136" s="53"/>
      <c r="AP136" s="53"/>
      <c r="AQ136" s="53"/>
      <c r="AR136" s="53"/>
      <c r="AS136" s="518"/>
      <c r="AT136" s="53"/>
      <c r="AU136" s="53"/>
      <c r="AV136" s="53"/>
      <c r="AW136" s="53"/>
      <c r="AX136" s="518"/>
      <c r="AY136" s="53"/>
      <c r="AZ136" s="53"/>
      <c r="BA136" s="53"/>
      <c r="BB136" s="53"/>
      <c r="BC136" s="518"/>
      <c r="BD136" s="53"/>
      <c r="BE136" s="53"/>
      <c r="BF136" s="53"/>
      <c r="BG136" s="53"/>
      <c r="BH136" s="518"/>
      <c r="BI136" s="53"/>
      <c r="BJ136" s="53"/>
      <c r="BK136" s="53"/>
      <c r="BL136" s="53"/>
      <c r="BM136" s="518"/>
      <c r="BN136" s="53"/>
      <c r="BO136" s="53"/>
      <c r="BP136" s="53"/>
      <c r="BQ136" s="53"/>
      <c r="BR136" s="518"/>
      <c r="BS136" s="53"/>
      <c r="BT136" s="53"/>
      <c r="BU136" s="53"/>
      <c r="BV136" s="54"/>
      <c r="BW136" s="465"/>
      <c r="BX136" s="410"/>
      <c r="BY136" s="410"/>
    </row>
    <row r="137" spans="1:77" hidden="1" x14ac:dyDescent="0.2">
      <c r="A137" s="377"/>
      <c r="B137" s="377"/>
      <c r="D137" s="465" t="s">
        <v>471</v>
      </c>
      <c r="E137" s="417"/>
      <c r="F137" s="377"/>
      <c r="G137" s="53">
        <f>SUM(G138:G140)</f>
        <v>0</v>
      </c>
      <c r="H137" s="53"/>
      <c r="I137" s="53"/>
      <c r="J137" s="518"/>
      <c r="K137" s="53"/>
      <c r="L137" s="53">
        <f>SUM(L138:L140)</f>
        <v>0</v>
      </c>
      <c r="M137" s="53"/>
      <c r="N137" s="53"/>
      <c r="O137" s="518"/>
      <c r="P137" s="53"/>
      <c r="Q137" s="53">
        <f>SUM(Q138:Q140)</f>
        <v>0</v>
      </c>
      <c r="R137" s="53"/>
      <c r="S137" s="53"/>
      <c r="T137" s="518"/>
      <c r="U137" s="53"/>
      <c r="V137" s="53">
        <f>SUM(V138:V140)</f>
        <v>0</v>
      </c>
      <c r="W137" s="53"/>
      <c r="X137" s="53"/>
      <c r="Y137" s="518"/>
      <c r="Z137" s="53"/>
      <c r="AA137" s="53">
        <f>SUM(AA138:AA140)</f>
        <v>0</v>
      </c>
      <c r="AB137" s="53"/>
      <c r="AC137" s="53"/>
      <c r="AD137" s="518"/>
      <c r="AE137" s="53"/>
      <c r="AF137" s="53">
        <f>SUM(AF138:AF140)</f>
        <v>0</v>
      </c>
      <c r="AG137" s="53"/>
      <c r="AH137" s="53"/>
      <c r="AI137" s="518"/>
      <c r="AJ137" s="53"/>
      <c r="AK137" s="53">
        <f>SUM(AK138:AK140)</f>
        <v>0</v>
      </c>
      <c r="AL137" s="53"/>
      <c r="AM137" s="53"/>
      <c r="AN137" s="518"/>
      <c r="AO137" s="53"/>
      <c r="AP137" s="53">
        <f>SUM(AP138:AP140)</f>
        <v>0</v>
      </c>
      <c r="AQ137" s="53"/>
      <c r="AR137" s="53"/>
      <c r="AS137" s="518"/>
      <c r="AT137" s="53"/>
      <c r="AU137" s="53">
        <f>SUM(AU138:AU140)</f>
        <v>0</v>
      </c>
      <c r="AV137" s="53"/>
      <c r="AW137" s="53"/>
      <c r="AX137" s="518"/>
      <c r="AY137" s="53"/>
      <c r="AZ137" s="53">
        <f>SUM(AZ138:AZ140)</f>
        <v>0</v>
      </c>
      <c r="BA137" s="53"/>
      <c r="BB137" s="53"/>
      <c r="BC137" s="518"/>
      <c r="BD137" s="53"/>
      <c r="BE137" s="53">
        <f>SUM(BE138:BE140)</f>
        <v>0</v>
      </c>
      <c r="BF137" s="53"/>
      <c r="BG137" s="53"/>
      <c r="BH137" s="518"/>
      <c r="BI137" s="53"/>
      <c r="BJ137" s="53">
        <f>SUM(BJ138:BJ140)</f>
        <v>0</v>
      </c>
      <c r="BK137" s="53"/>
      <c r="BL137" s="53"/>
      <c r="BM137" s="518"/>
      <c r="BN137" s="53"/>
      <c r="BO137" s="53">
        <f>SUM(BO138:BO140)</f>
        <v>0</v>
      </c>
      <c r="BP137" s="53"/>
      <c r="BQ137" s="53"/>
      <c r="BR137" s="518"/>
      <c r="BS137" s="53"/>
      <c r="BT137" s="53">
        <f>SUM(BT138:BT140)</f>
        <v>0</v>
      </c>
      <c r="BU137" s="53"/>
      <c r="BV137" s="54"/>
      <c r="BW137" s="465"/>
      <c r="BX137" s="410"/>
      <c r="BY137" s="410"/>
    </row>
    <row r="138" spans="1:77" hidden="1" x14ac:dyDescent="0.2">
      <c r="A138" s="377"/>
      <c r="B138" s="377"/>
      <c r="D138" s="465" t="s">
        <v>378</v>
      </c>
      <c r="E138" s="417"/>
      <c r="F138" s="469"/>
      <c r="G138" s="520">
        <v>0</v>
      </c>
      <c r="H138" s="521"/>
      <c r="I138" s="53"/>
      <c r="J138" s="518"/>
      <c r="K138" s="519"/>
      <c r="L138" s="520">
        <v>0</v>
      </c>
      <c r="M138" s="521"/>
      <c r="N138" s="53"/>
      <c r="O138" s="518"/>
      <c r="P138" s="519"/>
      <c r="Q138" s="520">
        <v>0</v>
      </c>
      <c r="R138" s="521"/>
      <c r="S138" s="53"/>
      <c r="T138" s="518"/>
      <c r="U138" s="519"/>
      <c r="V138" s="520">
        <v>0</v>
      </c>
      <c r="W138" s="521"/>
      <c r="X138" s="53"/>
      <c r="Y138" s="518"/>
      <c r="Z138" s="519"/>
      <c r="AA138" s="520">
        <v>0</v>
      </c>
      <c r="AB138" s="521"/>
      <c r="AC138" s="53"/>
      <c r="AD138" s="518"/>
      <c r="AE138" s="519"/>
      <c r="AF138" s="520">
        <v>0</v>
      </c>
      <c r="AG138" s="521"/>
      <c r="AH138" s="53"/>
      <c r="AI138" s="518"/>
      <c r="AJ138" s="519"/>
      <c r="AK138" s="520">
        <v>0</v>
      </c>
      <c r="AL138" s="521"/>
      <c r="AM138" s="53"/>
      <c r="AN138" s="518"/>
      <c r="AO138" s="519"/>
      <c r="AP138" s="520">
        <v>0</v>
      </c>
      <c r="AQ138" s="521"/>
      <c r="AR138" s="53"/>
      <c r="AS138" s="518"/>
      <c r="AT138" s="519"/>
      <c r="AU138" s="520">
        <v>0</v>
      </c>
      <c r="AV138" s="521"/>
      <c r="AW138" s="53"/>
      <c r="AX138" s="518"/>
      <c r="AY138" s="519"/>
      <c r="AZ138" s="520">
        <v>0</v>
      </c>
      <c r="BA138" s="521"/>
      <c r="BB138" s="53"/>
      <c r="BC138" s="518"/>
      <c r="BD138" s="519"/>
      <c r="BE138" s="520">
        <v>0</v>
      </c>
      <c r="BF138" s="521"/>
      <c r="BG138" s="53"/>
      <c r="BH138" s="518"/>
      <c r="BI138" s="519"/>
      <c r="BJ138" s="520">
        <v>0</v>
      </c>
      <c r="BK138" s="521"/>
      <c r="BL138" s="53"/>
      <c r="BM138" s="518"/>
      <c r="BN138" s="519"/>
      <c r="BO138" s="520">
        <v>0</v>
      </c>
      <c r="BP138" s="521"/>
      <c r="BQ138" s="53"/>
      <c r="BR138" s="518"/>
      <c r="BS138" s="519"/>
      <c r="BT138" s="520">
        <f>SUM(L138:BO138)</f>
        <v>0</v>
      </c>
      <c r="BU138" s="521"/>
      <c r="BV138" s="54"/>
      <c r="BW138" s="465"/>
      <c r="BX138" s="410"/>
      <c r="BY138" s="410"/>
    </row>
    <row r="139" spans="1:77" hidden="1" x14ac:dyDescent="0.2">
      <c r="A139" s="377"/>
      <c r="B139" s="377"/>
      <c r="D139" s="465" t="s">
        <v>467</v>
      </c>
      <c r="E139" s="417"/>
      <c r="F139" s="417"/>
      <c r="G139" s="53">
        <v>0</v>
      </c>
      <c r="H139" s="52"/>
      <c r="I139" s="53"/>
      <c r="J139" s="518"/>
      <c r="K139" s="518"/>
      <c r="L139" s="53">
        <v>0</v>
      </c>
      <c r="M139" s="52"/>
      <c r="N139" s="53"/>
      <c r="O139" s="518"/>
      <c r="P139" s="518"/>
      <c r="Q139" s="53">
        <v>0</v>
      </c>
      <c r="R139" s="52"/>
      <c r="S139" s="53"/>
      <c r="T139" s="518"/>
      <c r="U139" s="518"/>
      <c r="V139" s="53">
        <v>0</v>
      </c>
      <c r="W139" s="52"/>
      <c r="X139" s="53"/>
      <c r="Y139" s="518"/>
      <c r="Z139" s="518"/>
      <c r="AA139" s="53">
        <v>0</v>
      </c>
      <c r="AB139" s="52"/>
      <c r="AC139" s="53"/>
      <c r="AD139" s="518"/>
      <c r="AE139" s="518"/>
      <c r="AF139" s="53">
        <v>0</v>
      </c>
      <c r="AG139" s="52"/>
      <c r="AH139" s="53"/>
      <c r="AI139" s="518"/>
      <c r="AJ139" s="518"/>
      <c r="AK139" s="53">
        <v>0</v>
      </c>
      <c r="AL139" s="52"/>
      <c r="AM139" s="53"/>
      <c r="AN139" s="518"/>
      <c r="AO139" s="518"/>
      <c r="AP139" s="53">
        <v>0</v>
      </c>
      <c r="AQ139" s="52"/>
      <c r="AR139" s="53"/>
      <c r="AS139" s="518"/>
      <c r="AT139" s="518"/>
      <c r="AU139" s="53">
        <v>0</v>
      </c>
      <c r="AV139" s="52"/>
      <c r="AW139" s="53"/>
      <c r="AX139" s="518"/>
      <c r="AY139" s="518"/>
      <c r="AZ139" s="53">
        <v>0</v>
      </c>
      <c r="BA139" s="52"/>
      <c r="BB139" s="53"/>
      <c r="BC139" s="518"/>
      <c r="BD139" s="518"/>
      <c r="BE139" s="53">
        <v>0</v>
      </c>
      <c r="BF139" s="52"/>
      <c r="BG139" s="53"/>
      <c r="BH139" s="518"/>
      <c r="BI139" s="518"/>
      <c r="BJ139" s="53">
        <v>0</v>
      </c>
      <c r="BK139" s="52"/>
      <c r="BL139" s="53"/>
      <c r="BM139" s="518"/>
      <c r="BN139" s="518"/>
      <c r="BO139" s="53">
        <v>0</v>
      </c>
      <c r="BP139" s="52"/>
      <c r="BQ139" s="53"/>
      <c r="BR139" s="518"/>
      <c r="BS139" s="518"/>
      <c r="BT139" s="53">
        <f>SUM(L139:BO139)</f>
        <v>0</v>
      </c>
      <c r="BU139" s="52"/>
      <c r="BV139" s="54"/>
      <c r="BW139" s="465"/>
      <c r="BX139" s="410"/>
      <c r="BY139" s="410"/>
    </row>
    <row r="140" spans="1:77" hidden="1" x14ac:dyDescent="0.2">
      <c r="A140" s="377"/>
      <c r="B140" s="377"/>
      <c r="D140" s="465" t="s">
        <v>468</v>
      </c>
      <c r="E140" s="417"/>
      <c r="F140" s="478"/>
      <c r="G140" s="102">
        <v>0</v>
      </c>
      <c r="H140" s="101"/>
      <c r="I140" s="53"/>
      <c r="J140" s="518"/>
      <c r="K140" s="522"/>
      <c r="L140" s="102">
        <v>0</v>
      </c>
      <c r="M140" s="101"/>
      <c r="N140" s="53"/>
      <c r="O140" s="518"/>
      <c r="P140" s="522"/>
      <c r="Q140" s="102">
        <v>0</v>
      </c>
      <c r="R140" s="101"/>
      <c r="S140" s="53"/>
      <c r="T140" s="518"/>
      <c r="U140" s="522"/>
      <c r="V140" s="102">
        <v>0</v>
      </c>
      <c r="W140" s="101"/>
      <c r="X140" s="53"/>
      <c r="Y140" s="518"/>
      <c r="Z140" s="522"/>
      <c r="AA140" s="102">
        <v>0</v>
      </c>
      <c r="AB140" s="101"/>
      <c r="AC140" s="53"/>
      <c r="AD140" s="518"/>
      <c r="AE140" s="522"/>
      <c r="AF140" s="102">
        <v>0</v>
      </c>
      <c r="AG140" s="101"/>
      <c r="AH140" s="53"/>
      <c r="AI140" s="518"/>
      <c r="AJ140" s="522"/>
      <c r="AK140" s="102">
        <v>0</v>
      </c>
      <c r="AL140" s="101"/>
      <c r="AM140" s="53"/>
      <c r="AN140" s="518"/>
      <c r="AO140" s="522"/>
      <c r="AP140" s="102">
        <v>0</v>
      </c>
      <c r="AQ140" s="101"/>
      <c r="AR140" s="53"/>
      <c r="AS140" s="518"/>
      <c r="AT140" s="522"/>
      <c r="AU140" s="102">
        <v>0</v>
      </c>
      <c r="AV140" s="101"/>
      <c r="AW140" s="53"/>
      <c r="AX140" s="518"/>
      <c r="AY140" s="522"/>
      <c r="AZ140" s="102">
        <v>0</v>
      </c>
      <c r="BA140" s="101"/>
      <c r="BB140" s="53"/>
      <c r="BC140" s="518"/>
      <c r="BD140" s="522"/>
      <c r="BE140" s="102">
        <v>0</v>
      </c>
      <c r="BF140" s="101"/>
      <c r="BG140" s="53"/>
      <c r="BH140" s="518"/>
      <c r="BI140" s="522"/>
      <c r="BJ140" s="102">
        <v>0</v>
      </c>
      <c r="BK140" s="101"/>
      <c r="BL140" s="53"/>
      <c r="BM140" s="518"/>
      <c r="BN140" s="522"/>
      <c r="BO140" s="102">
        <v>0</v>
      </c>
      <c r="BP140" s="101"/>
      <c r="BQ140" s="53"/>
      <c r="BR140" s="518"/>
      <c r="BS140" s="522"/>
      <c r="BT140" s="102">
        <f>SUM(L140:BO140)</f>
        <v>0</v>
      </c>
      <c r="BU140" s="101"/>
      <c r="BV140" s="54"/>
      <c r="BW140" s="465"/>
      <c r="BX140" s="410"/>
      <c r="BY140" s="410"/>
    </row>
    <row r="141" spans="1:77" hidden="1" x14ac:dyDescent="0.2">
      <c r="A141" s="377"/>
      <c r="B141" s="377"/>
      <c r="D141" s="465"/>
      <c r="E141" s="417"/>
      <c r="F141" s="377"/>
      <c r="G141" s="53"/>
      <c r="H141" s="53"/>
      <c r="I141" s="53"/>
      <c r="J141" s="518"/>
      <c r="K141" s="53"/>
      <c r="L141" s="53"/>
      <c r="M141" s="53"/>
      <c r="N141" s="53"/>
      <c r="O141" s="518"/>
      <c r="P141" s="53"/>
      <c r="Q141" s="53"/>
      <c r="R141" s="53"/>
      <c r="S141" s="53"/>
      <c r="T141" s="518"/>
      <c r="U141" s="53"/>
      <c r="V141" s="53"/>
      <c r="W141" s="53"/>
      <c r="X141" s="53"/>
      <c r="Y141" s="518"/>
      <c r="Z141" s="53"/>
      <c r="AA141" s="53"/>
      <c r="AB141" s="53"/>
      <c r="AC141" s="53"/>
      <c r="AD141" s="518"/>
      <c r="AE141" s="53"/>
      <c r="AF141" s="53"/>
      <c r="AG141" s="53"/>
      <c r="AH141" s="53"/>
      <c r="AI141" s="518"/>
      <c r="AJ141" s="53"/>
      <c r="AK141" s="53"/>
      <c r="AL141" s="53"/>
      <c r="AM141" s="53"/>
      <c r="AN141" s="518"/>
      <c r="AO141" s="53"/>
      <c r="AP141" s="53"/>
      <c r="AQ141" s="53"/>
      <c r="AR141" s="53"/>
      <c r="AS141" s="518"/>
      <c r="AT141" s="53"/>
      <c r="AU141" s="53"/>
      <c r="AV141" s="53"/>
      <c r="AW141" s="53"/>
      <c r="AX141" s="518"/>
      <c r="AY141" s="53"/>
      <c r="AZ141" s="53"/>
      <c r="BA141" s="53"/>
      <c r="BB141" s="53"/>
      <c r="BC141" s="518"/>
      <c r="BD141" s="53"/>
      <c r="BE141" s="53"/>
      <c r="BF141" s="53"/>
      <c r="BG141" s="53"/>
      <c r="BH141" s="518"/>
      <c r="BI141" s="53"/>
      <c r="BJ141" s="53"/>
      <c r="BK141" s="53"/>
      <c r="BL141" s="53"/>
      <c r="BM141" s="518"/>
      <c r="BN141" s="53"/>
      <c r="BO141" s="53"/>
      <c r="BP141" s="53"/>
      <c r="BQ141" s="53"/>
      <c r="BR141" s="518"/>
      <c r="BS141" s="53"/>
      <c r="BT141" s="53"/>
      <c r="BU141" s="53"/>
      <c r="BV141" s="54"/>
      <c r="BW141" s="465"/>
      <c r="BX141" s="410"/>
      <c r="BY141" s="410"/>
    </row>
    <row r="142" spans="1:77" hidden="1" x14ac:dyDescent="0.2">
      <c r="A142" s="377"/>
      <c r="B142" s="377"/>
      <c r="D142" s="465" t="s">
        <v>472</v>
      </c>
      <c r="E142" s="417"/>
      <c r="F142" s="377"/>
      <c r="G142" s="53">
        <f>SUM(G143:G145)</f>
        <v>0</v>
      </c>
      <c r="H142" s="53"/>
      <c r="I142" s="53"/>
      <c r="J142" s="518"/>
      <c r="K142" s="53"/>
      <c r="L142" s="53">
        <f>SUM(L143:L145)</f>
        <v>0</v>
      </c>
      <c r="M142" s="53"/>
      <c r="N142" s="53"/>
      <c r="O142" s="518"/>
      <c r="P142" s="53"/>
      <c r="Q142" s="53">
        <f>SUM(Q143:Q145)</f>
        <v>0</v>
      </c>
      <c r="R142" s="53"/>
      <c r="S142" s="53"/>
      <c r="T142" s="518"/>
      <c r="U142" s="53"/>
      <c r="V142" s="53">
        <f>SUM(V143:V145)</f>
        <v>0</v>
      </c>
      <c r="W142" s="53"/>
      <c r="X142" s="53"/>
      <c r="Y142" s="518"/>
      <c r="Z142" s="53"/>
      <c r="AA142" s="53">
        <f>SUM(AA143:AA145)</f>
        <v>0</v>
      </c>
      <c r="AB142" s="53"/>
      <c r="AC142" s="53"/>
      <c r="AD142" s="518"/>
      <c r="AE142" s="53"/>
      <c r="AF142" s="53">
        <f>SUM(AF143:AF145)</f>
        <v>0</v>
      </c>
      <c r="AG142" s="53"/>
      <c r="AH142" s="53"/>
      <c r="AI142" s="518"/>
      <c r="AJ142" s="53"/>
      <c r="AK142" s="53">
        <f>SUM(AK143:AK145)</f>
        <v>0</v>
      </c>
      <c r="AL142" s="53"/>
      <c r="AM142" s="53"/>
      <c r="AN142" s="518"/>
      <c r="AO142" s="53"/>
      <c r="AP142" s="53">
        <f>SUM(AP143:AP145)</f>
        <v>0</v>
      </c>
      <c r="AQ142" s="53"/>
      <c r="AR142" s="53"/>
      <c r="AS142" s="518"/>
      <c r="AT142" s="53"/>
      <c r="AU142" s="53">
        <f>SUM(AU143:AU145)</f>
        <v>0</v>
      </c>
      <c r="AV142" s="53"/>
      <c r="AW142" s="53"/>
      <c r="AX142" s="518"/>
      <c r="AY142" s="53"/>
      <c r="AZ142" s="53">
        <f>SUM(AZ143:AZ145)</f>
        <v>0</v>
      </c>
      <c r="BA142" s="53"/>
      <c r="BB142" s="53"/>
      <c r="BC142" s="518"/>
      <c r="BD142" s="53"/>
      <c r="BE142" s="53">
        <f>SUM(BE143:BE145)</f>
        <v>0</v>
      </c>
      <c r="BF142" s="53"/>
      <c r="BG142" s="53"/>
      <c r="BH142" s="518"/>
      <c r="BI142" s="53"/>
      <c r="BJ142" s="53">
        <f>SUM(BJ143:BJ145)</f>
        <v>0</v>
      </c>
      <c r="BK142" s="53"/>
      <c r="BL142" s="53"/>
      <c r="BM142" s="518"/>
      <c r="BN142" s="53"/>
      <c r="BO142" s="53">
        <f>SUM(BO143:BO145)</f>
        <v>0</v>
      </c>
      <c r="BP142" s="53"/>
      <c r="BQ142" s="53"/>
      <c r="BR142" s="518"/>
      <c r="BS142" s="53"/>
      <c r="BT142" s="53">
        <f>SUM(BT143:BT145)</f>
        <v>0</v>
      </c>
      <c r="BU142" s="53"/>
      <c r="BV142" s="54"/>
      <c r="BW142" s="465"/>
      <c r="BX142" s="410"/>
      <c r="BY142" s="410"/>
    </row>
    <row r="143" spans="1:77" hidden="1" x14ac:dyDescent="0.2">
      <c r="A143" s="377"/>
      <c r="B143" s="377"/>
      <c r="D143" s="465" t="s">
        <v>378</v>
      </c>
      <c r="E143" s="417"/>
      <c r="F143" s="469"/>
      <c r="G143" s="520">
        <v>0</v>
      </c>
      <c r="H143" s="521"/>
      <c r="I143" s="53"/>
      <c r="J143" s="518"/>
      <c r="K143" s="519"/>
      <c r="L143" s="520">
        <v>0</v>
      </c>
      <c r="M143" s="521"/>
      <c r="N143" s="53"/>
      <c r="O143" s="518"/>
      <c r="P143" s="519"/>
      <c r="Q143" s="520">
        <v>0</v>
      </c>
      <c r="R143" s="521"/>
      <c r="S143" s="53"/>
      <c r="T143" s="518"/>
      <c r="U143" s="519"/>
      <c r="V143" s="520">
        <v>0</v>
      </c>
      <c r="W143" s="521"/>
      <c r="X143" s="53"/>
      <c r="Y143" s="518"/>
      <c r="Z143" s="519"/>
      <c r="AA143" s="520">
        <v>0</v>
      </c>
      <c r="AB143" s="521"/>
      <c r="AC143" s="53"/>
      <c r="AD143" s="518"/>
      <c r="AE143" s="519"/>
      <c r="AF143" s="520">
        <v>0</v>
      </c>
      <c r="AG143" s="521"/>
      <c r="AH143" s="53"/>
      <c r="AI143" s="518"/>
      <c r="AJ143" s="519"/>
      <c r="AK143" s="520">
        <v>0</v>
      </c>
      <c r="AL143" s="521"/>
      <c r="AM143" s="53"/>
      <c r="AN143" s="518"/>
      <c r="AO143" s="519"/>
      <c r="AP143" s="520">
        <v>0</v>
      </c>
      <c r="AQ143" s="521"/>
      <c r="AR143" s="53"/>
      <c r="AS143" s="518"/>
      <c r="AT143" s="519"/>
      <c r="AU143" s="520">
        <v>0</v>
      </c>
      <c r="AV143" s="521"/>
      <c r="AW143" s="53"/>
      <c r="AX143" s="518"/>
      <c r="AY143" s="519"/>
      <c r="AZ143" s="520">
        <v>0</v>
      </c>
      <c r="BA143" s="521"/>
      <c r="BB143" s="53"/>
      <c r="BC143" s="518"/>
      <c r="BD143" s="519"/>
      <c r="BE143" s="520">
        <v>0</v>
      </c>
      <c r="BF143" s="521"/>
      <c r="BG143" s="53"/>
      <c r="BH143" s="518"/>
      <c r="BI143" s="519"/>
      <c r="BJ143" s="520">
        <v>0</v>
      </c>
      <c r="BK143" s="521"/>
      <c r="BL143" s="53"/>
      <c r="BM143" s="518"/>
      <c r="BN143" s="519"/>
      <c r="BO143" s="520">
        <v>0</v>
      </c>
      <c r="BP143" s="521"/>
      <c r="BQ143" s="53"/>
      <c r="BR143" s="518"/>
      <c r="BS143" s="519"/>
      <c r="BT143" s="520">
        <f>SUM(L143:BO143)</f>
        <v>0</v>
      </c>
      <c r="BU143" s="521"/>
      <c r="BV143" s="54"/>
      <c r="BW143" s="465"/>
      <c r="BX143" s="410"/>
      <c r="BY143" s="410"/>
    </row>
    <row r="144" spans="1:77" hidden="1" x14ac:dyDescent="0.2">
      <c r="A144" s="377"/>
      <c r="B144" s="377"/>
      <c r="D144" s="465" t="s">
        <v>467</v>
      </c>
      <c r="E144" s="417"/>
      <c r="F144" s="417"/>
      <c r="G144" s="53">
        <v>0</v>
      </c>
      <c r="H144" s="52"/>
      <c r="I144" s="53"/>
      <c r="J144" s="518"/>
      <c r="K144" s="518"/>
      <c r="L144" s="53">
        <v>0</v>
      </c>
      <c r="M144" s="52"/>
      <c r="N144" s="53"/>
      <c r="O144" s="518"/>
      <c r="P144" s="518"/>
      <c r="Q144" s="53">
        <v>0</v>
      </c>
      <c r="R144" s="52"/>
      <c r="S144" s="53"/>
      <c r="T144" s="518"/>
      <c r="U144" s="518"/>
      <c r="V144" s="53">
        <v>0</v>
      </c>
      <c r="W144" s="52"/>
      <c r="X144" s="53"/>
      <c r="Y144" s="518"/>
      <c r="Z144" s="518"/>
      <c r="AA144" s="53">
        <v>0</v>
      </c>
      <c r="AB144" s="52"/>
      <c r="AC144" s="53"/>
      <c r="AD144" s="518"/>
      <c r="AE144" s="518"/>
      <c r="AF144" s="53">
        <v>0</v>
      </c>
      <c r="AG144" s="52"/>
      <c r="AH144" s="53"/>
      <c r="AI144" s="518"/>
      <c r="AJ144" s="518"/>
      <c r="AK144" s="53">
        <v>0</v>
      </c>
      <c r="AL144" s="52"/>
      <c r="AM144" s="53"/>
      <c r="AN144" s="518"/>
      <c r="AO144" s="518"/>
      <c r="AP144" s="53">
        <v>0</v>
      </c>
      <c r="AQ144" s="52"/>
      <c r="AR144" s="53"/>
      <c r="AS144" s="518"/>
      <c r="AT144" s="518"/>
      <c r="AU144" s="53">
        <v>0</v>
      </c>
      <c r="AV144" s="52"/>
      <c r="AW144" s="53"/>
      <c r="AX144" s="518"/>
      <c r="AY144" s="518"/>
      <c r="AZ144" s="53">
        <v>0</v>
      </c>
      <c r="BA144" s="52"/>
      <c r="BB144" s="53"/>
      <c r="BC144" s="518"/>
      <c r="BD144" s="518"/>
      <c r="BE144" s="53">
        <v>0</v>
      </c>
      <c r="BF144" s="52"/>
      <c r="BG144" s="53"/>
      <c r="BH144" s="518"/>
      <c r="BI144" s="518"/>
      <c r="BJ144" s="53">
        <v>0</v>
      </c>
      <c r="BK144" s="52"/>
      <c r="BL144" s="53"/>
      <c r="BM144" s="518"/>
      <c r="BN144" s="518"/>
      <c r="BO144" s="53">
        <v>0</v>
      </c>
      <c r="BP144" s="52"/>
      <c r="BQ144" s="53"/>
      <c r="BR144" s="518"/>
      <c r="BS144" s="518"/>
      <c r="BT144" s="53">
        <f>SUM(L144:BO144)</f>
        <v>0</v>
      </c>
      <c r="BU144" s="52"/>
      <c r="BV144" s="54"/>
      <c r="BW144" s="465"/>
      <c r="BX144" s="410"/>
      <c r="BY144" s="410"/>
    </row>
    <row r="145" spans="1:77" hidden="1" x14ac:dyDescent="0.2">
      <c r="A145" s="377"/>
      <c r="B145" s="377"/>
      <c r="D145" s="465" t="s">
        <v>468</v>
      </c>
      <c r="E145" s="417"/>
      <c r="F145" s="478"/>
      <c r="G145" s="102">
        <v>0</v>
      </c>
      <c r="H145" s="101"/>
      <c r="I145" s="53"/>
      <c r="J145" s="518"/>
      <c r="K145" s="522"/>
      <c r="L145" s="102">
        <v>0</v>
      </c>
      <c r="M145" s="101"/>
      <c r="N145" s="53"/>
      <c r="O145" s="518"/>
      <c r="P145" s="522"/>
      <c r="Q145" s="102">
        <v>0</v>
      </c>
      <c r="R145" s="101"/>
      <c r="S145" s="53"/>
      <c r="T145" s="518"/>
      <c r="U145" s="522"/>
      <c r="V145" s="102">
        <v>0</v>
      </c>
      <c r="W145" s="101"/>
      <c r="X145" s="53"/>
      <c r="Y145" s="518"/>
      <c r="Z145" s="522"/>
      <c r="AA145" s="102">
        <v>0</v>
      </c>
      <c r="AB145" s="101"/>
      <c r="AC145" s="53"/>
      <c r="AD145" s="518"/>
      <c r="AE145" s="522"/>
      <c r="AF145" s="102">
        <v>0</v>
      </c>
      <c r="AG145" s="101"/>
      <c r="AH145" s="53"/>
      <c r="AI145" s="518"/>
      <c r="AJ145" s="522"/>
      <c r="AK145" s="102">
        <v>0</v>
      </c>
      <c r="AL145" s="101"/>
      <c r="AM145" s="53"/>
      <c r="AN145" s="518"/>
      <c r="AO145" s="522"/>
      <c r="AP145" s="102">
        <v>0</v>
      </c>
      <c r="AQ145" s="101"/>
      <c r="AR145" s="53"/>
      <c r="AS145" s="518"/>
      <c r="AT145" s="522"/>
      <c r="AU145" s="102">
        <v>0</v>
      </c>
      <c r="AV145" s="101"/>
      <c r="AW145" s="53"/>
      <c r="AX145" s="518"/>
      <c r="AY145" s="522"/>
      <c r="AZ145" s="102">
        <v>0</v>
      </c>
      <c r="BA145" s="101"/>
      <c r="BB145" s="53"/>
      <c r="BC145" s="518"/>
      <c r="BD145" s="522"/>
      <c r="BE145" s="102">
        <v>0</v>
      </c>
      <c r="BF145" s="101"/>
      <c r="BG145" s="53"/>
      <c r="BH145" s="518"/>
      <c r="BI145" s="522"/>
      <c r="BJ145" s="102">
        <v>0</v>
      </c>
      <c r="BK145" s="101"/>
      <c r="BL145" s="53"/>
      <c r="BM145" s="518"/>
      <c r="BN145" s="522"/>
      <c r="BO145" s="102">
        <v>0</v>
      </c>
      <c r="BP145" s="101"/>
      <c r="BQ145" s="53"/>
      <c r="BR145" s="518"/>
      <c r="BS145" s="522"/>
      <c r="BT145" s="102">
        <f>SUM(L145:BO145)</f>
        <v>0</v>
      </c>
      <c r="BU145" s="101"/>
      <c r="BV145" s="54"/>
      <c r="BW145" s="465"/>
      <c r="BX145" s="410"/>
      <c r="BY145" s="410"/>
    </row>
    <row r="146" spans="1:77" hidden="1" x14ac:dyDescent="0.2">
      <c r="A146" s="377"/>
      <c r="B146" s="377"/>
      <c r="D146" s="465"/>
      <c r="E146" s="417"/>
      <c r="F146" s="377"/>
      <c r="G146" s="53"/>
      <c r="H146" s="53"/>
      <c r="I146" s="53"/>
      <c r="J146" s="518"/>
      <c r="K146" s="53"/>
      <c r="L146" s="53"/>
      <c r="M146" s="53"/>
      <c r="N146" s="53"/>
      <c r="O146" s="518"/>
      <c r="P146" s="53"/>
      <c r="Q146" s="53"/>
      <c r="R146" s="53"/>
      <c r="S146" s="53"/>
      <c r="T146" s="518"/>
      <c r="U146" s="53"/>
      <c r="V146" s="53"/>
      <c r="W146" s="53"/>
      <c r="X146" s="53"/>
      <c r="Y146" s="518"/>
      <c r="Z146" s="53"/>
      <c r="AA146" s="53"/>
      <c r="AB146" s="53"/>
      <c r="AC146" s="53"/>
      <c r="AD146" s="518"/>
      <c r="AE146" s="53"/>
      <c r="AF146" s="53"/>
      <c r="AG146" s="53"/>
      <c r="AH146" s="53"/>
      <c r="AI146" s="518"/>
      <c r="AJ146" s="53"/>
      <c r="AK146" s="53"/>
      <c r="AL146" s="53"/>
      <c r="AM146" s="53"/>
      <c r="AN146" s="518"/>
      <c r="AO146" s="53"/>
      <c r="AP146" s="53"/>
      <c r="AQ146" s="53"/>
      <c r="AR146" s="53"/>
      <c r="AS146" s="518"/>
      <c r="AT146" s="53"/>
      <c r="AU146" s="53"/>
      <c r="AV146" s="53"/>
      <c r="AW146" s="53"/>
      <c r="AX146" s="518"/>
      <c r="AY146" s="53"/>
      <c r="AZ146" s="53"/>
      <c r="BA146" s="53"/>
      <c r="BB146" s="53"/>
      <c r="BC146" s="518"/>
      <c r="BD146" s="53"/>
      <c r="BE146" s="53"/>
      <c r="BF146" s="53"/>
      <c r="BG146" s="53"/>
      <c r="BH146" s="518"/>
      <c r="BI146" s="53"/>
      <c r="BJ146" s="53"/>
      <c r="BK146" s="53"/>
      <c r="BL146" s="53"/>
      <c r="BM146" s="518"/>
      <c r="BN146" s="53"/>
      <c r="BO146" s="53"/>
      <c r="BP146" s="53"/>
      <c r="BQ146" s="53"/>
      <c r="BR146" s="518"/>
      <c r="BS146" s="53"/>
      <c r="BT146" s="53"/>
      <c r="BU146" s="53"/>
      <c r="BV146" s="54"/>
      <c r="BW146" s="465"/>
      <c r="BX146" s="410"/>
      <c r="BY146" s="410"/>
    </row>
    <row r="147" spans="1:77" hidden="1" x14ac:dyDescent="0.2">
      <c r="A147" s="377"/>
      <c r="B147" s="377"/>
      <c r="D147" s="465" t="s">
        <v>473</v>
      </c>
      <c r="E147" s="417"/>
      <c r="F147" s="377"/>
      <c r="G147" s="53">
        <f>SUM(G148:G150)</f>
        <v>0</v>
      </c>
      <c r="H147" s="53"/>
      <c r="I147" s="53"/>
      <c r="J147" s="518"/>
      <c r="K147" s="53"/>
      <c r="L147" s="53">
        <f>SUM(L148:L150)</f>
        <v>0</v>
      </c>
      <c r="M147" s="53"/>
      <c r="N147" s="53"/>
      <c r="O147" s="518"/>
      <c r="P147" s="53"/>
      <c r="Q147" s="53">
        <f>SUM(Q148:Q150)</f>
        <v>0</v>
      </c>
      <c r="R147" s="53"/>
      <c r="S147" s="53"/>
      <c r="T147" s="518"/>
      <c r="U147" s="53"/>
      <c r="V147" s="53">
        <f>SUM(V148:V150)</f>
        <v>0</v>
      </c>
      <c r="W147" s="53"/>
      <c r="X147" s="53"/>
      <c r="Y147" s="518"/>
      <c r="Z147" s="53"/>
      <c r="AA147" s="53">
        <f>SUM(AA148:AA150)</f>
        <v>0</v>
      </c>
      <c r="AB147" s="53"/>
      <c r="AC147" s="53"/>
      <c r="AD147" s="518"/>
      <c r="AE147" s="53"/>
      <c r="AF147" s="53">
        <f>SUM(AF148:AF150)</f>
        <v>0</v>
      </c>
      <c r="AG147" s="53"/>
      <c r="AH147" s="53"/>
      <c r="AI147" s="518"/>
      <c r="AJ147" s="53"/>
      <c r="AK147" s="53">
        <f>SUM(AK148:AK150)</f>
        <v>0</v>
      </c>
      <c r="AL147" s="53"/>
      <c r="AM147" s="53"/>
      <c r="AN147" s="518"/>
      <c r="AO147" s="53"/>
      <c r="AP147" s="53">
        <f>SUM(AP148:AP150)</f>
        <v>0</v>
      </c>
      <c r="AQ147" s="53"/>
      <c r="AR147" s="53"/>
      <c r="AS147" s="518"/>
      <c r="AT147" s="53"/>
      <c r="AU147" s="53">
        <f>SUM(AU148:AU150)</f>
        <v>0</v>
      </c>
      <c r="AV147" s="53"/>
      <c r="AW147" s="53"/>
      <c r="AX147" s="518"/>
      <c r="AY147" s="53"/>
      <c r="AZ147" s="53">
        <f>SUM(AZ148:AZ150)</f>
        <v>0</v>
      </c>
      <c r="BA147" s="53"/>
      <c r="BB147" s="53"/>
      <c r="BC147" s="518"/>
      <c r="BD147" s="53"/>
      <c r="BE147" s="53">
        <f>SUM(BE148:BE150)</f>
        <v>0</v>
      </c>
      <c r="BF147" s="53"/>
      <c r="BG147" s="53"/>
      <c r="BH147" s="518"/>
      <c r="BI147" s="53"/>
      <c r="BJ147" s="53">
        <f>SUM(BJ148:BJ150)</f>
        <v>0</v>
      </c>
      <c r="BK147" s="53"/>
      <c r="BL147" s="53"/>
      <c r="BM147" s="518"/>
      <c r="BN147" s="53"/>
      <c r="BO147" s="53">
        <f>SUM(BO148:BO150)</f>
        <v>0</v>
      </c>
      <c r="BP147" s="53"/>
      <c r="BQ147" s="53"/>
      <c r="BR147" s="518"/>
      <c r="BS147" s="53"/>
      <c r="BT147" s="53">
        <f>SUM(BT148:BT150)</f>
        <v>0</v>
      </c>
      <c r="BU147" s="53"/>
      <c r="BV147" s="54"/>
      <c r="BW147" s="465"/>
      <c r="BX147" s="410"/>
      <c r="BY147" s="410"/>
    </row>
    <row r="148" spans="1:77" hidden="1" x14ac:dyDescent="0.2">
      <c r="A148" s="377"/>
      <c r="B148" s="377"/>
      <c r="D148" s="465" t="s">
        <v>378</v>
      </c>
      <c r="E148" s="417"/>
      <c r="F148" s="469"/>
      <c r="G148" s="520">
        <v>0</v>
      </c>
      <c r="H148" s="521"/>
      <c r="I148" s="53"/>
      <c r="J148" s="518"/>
      <c r="K148" s="519"/>
      <c r="L148" s="520">
        <v>0</v>
      </c>
      <c r="M148" s="521"/>
      <c r="N148" s="53"/>
      <c r="O148" s="518"/>
      <c r="P148" s="519"/>
      <c r="Q148" s="520">
        <v>0</v>
      </c>
      <c r="R148" s="521"/>
      <c r="S148" s="53"/>
      <c r="T148" s="518"/>
      <c r="U148" s="519"/>
      <c r="V148" s="520">
        <v>0</v>
      </c>
      <c r="W148" s="521"/>
      <c r="X148" s="53"/>
      <c r="Y148" s="518"/>
      <c r="Z148" s="519"/>
      <c r="AA148" s="520">
        <v>0</v>
      </c>
      <c r="AB148" s="521"/>
      <c r="AC148" s="53"/>
      <c r="AD148" s="518"/>
      <c r="AE148" s="519"/>
      <c r="AF148" s="520">
        <v>0</v>
      </c>
      <c r="AG148" s="521"/>
      <c r="AH148" s="53"/>
      <c r="AI148" s="518"/>
      <c r="AJ148" s="519"/>
      <c r="AK148" s="520">
        <v>0</v>
      </c>
      <c r="AL148" s="521"/>
      <c r="AM148" s="53"/>
      <c r="AN148" s="518"/>
      <c r="AO148" s="519"/>
      <c r="AP148" s="520">
        <v>0</v>
      </c>
      <c r="AQ148" s="521"/>
      <c r="AR148" s="53"/>
      <c r="AS148" s="518"/>
      <c r="AT148" s="519"/>
      <c r="AU148" s="520">
        <v>0</v>
      </c>
      <c r="AV148" s="521"/>
      <c r="AW148" s="53"/>
      <c r="AX148" s="518"/>
      <c r="AY148" s="519"/>
      <c r="AZ148" s="520">
        <v>0</v>
      </c>
      <c r="BA148" s="521"/>
      <c r="BB148" s="53"/>
      <c r="BC148" s="518"/>
      <c r="BD148" s="519"/>
      <c r="BE148" s="520">
        <v>0</v>
      </c>
      <c r="BF148" s="521"/>
      <c r="BG148" s="53"/>
      <c r="BH148" s="518"/>
      <c r="BI148" s="519"/>
      <c r="BJ148" s="520">
        <v>0</v>
      </c>
      <c r="BK148" s="521"/>
      <c r="BL148" s="53"/>
      <c r="BM148" s="518"/>
      <c r="BN148" s="519"/>
      <c r="BO148" s="520">
        <v>0</v>
      </c>
      <c r="BP148" s="521"/>
      <c r="BQ148" s="53"/>
      <c r="BR148" s="518"/>
      <c r="BS148" s="519"/>
      <c r="BT148" s="520">
        <f>SUM(L148:BO148)</f>
        <v>0</v>
      </c>
      <c r="BU148" s="521"/>
      <c r="BV148" s="54"/>
      <c r="BW148" s="465"/>
      <c r="BX148" s="410"/>
      <c r="BY148" s="410"/>
    </row>
    <row r="149" spans="1:77" hidden="1" x14ac:dyDescent="0.2">
      <c r="A149" s="377"/>
      <c r="B149" s="377"/>
      <c r="D149" s="465" t="s">
        <v>467</v>
      </c>
      <c r="E149" s="417"/>
      <c r="F149" s="417"/>
      <c r="G149" s="53">
        <v>0</v>
      </c>
      <c r="H149" s="52"/>
      <c r="I149" s="53"/>
      <c r="J149" s="518"/>
      <c r="K149" s="518"/>
      <c r="L149" s="53">
        <v>0</v>
      </c>
      <c r="M149" s="52"/>
      <c r="N149" s="53"/>
      <c r="O149" s="518"/>
      <c r="P149" s="518"/>
      <c r="Q149" s="53">
        <v>0</v>
      </c>
      <c r="R149" s="52"/>
      <c r="S149" s="53"/>
      <c r="T149" s="518"/>
      <c r="U149" s="518"/>
      <c r="V149" s="53">
        <v>0</v>
      </c>
      <c r="W149" s="52"/>
      <c r="X149" s="53"/>
      <c r="Y149" s="518"/>
      <c r="Z149" s="518"/>
      <c r="AA149" s="53">
        <v>0</v>
      </c>
      <c r="AB149" s="52"/>
      <c r="AC149" s="53"/>
      <c r="AD149" s="518"/>
      <c r="AE149" s="518"/>
      <c r="AF149" s="53">
        <v>0</v>
      </c>
      <c r="AG149" s="52"/>
      <c r="AH149" s="53"/>
      <c r="AI149" s="518"/>
      <c r="AJ149" s="518"/>
      <c r="AK149" s="53">
        <v>0</v>
      </c>
      <c r="AL149" s="52"/>
      <c r="AM149" s="53"/>
      <c r="AN149" s="518"/>
      <c r="AO149" s="518"/>
      <c r="AP149" s="53">
        <v>0</v>
      </c>
      <c r="AQ149" s="52"/>
      <c r="AR149" s="53"/>
      <c r="AS149" s="518"/>
      <c r="AT149" s="518"/>
      <c r="AU149" s="53">
        <v>0</v>
      </c>
      <c r="AV149" s="52"/>
      <c r="AW149" s="53"/>
      <c r="AX149" s="518"/>
      <c r="AY149" s="518"/>
      <c r="AZ149" s="53">
        <v>0</v>
      </c>
      <c r="BA149" s="52"/>
      <c r="BB149" s="53"/>
      <c r="BC149" s="518"/>
      <c r="BD149" s="518"/>
      <c r="BE149" s="53">
        <v>0</v>
      </c>
      <c r="BF149" s="52"/>
      <c r="BG149" s="53"/>
      <c r="BH149" s="518"/>
      <c r="BI149" s="518"/>
      <c r="BJ149" s="53">
        <v>0</v>
      </c>
      <c r="BK149" s="52"/>
      <c r="BL149" s="53"/>
      <c r="BM149" s="518"/>
      <c r="BN149" s="518"/>
      <c r="BO149" s="53">
        <v>0</v>
      </c>
      <c r="BP149" s="52"/>
      <c r="BQ149" s="53"/>
      <c r="BR149" s="518"/>
      <c r="BS149" s="518"/>
      <c r="BT149" s="53">
        <f>SUM(L149:BO149)</f>
        <v>0</v>
      </c>
      <c r="BU149" s="52"/>
      <c r="BV149" s="54"/>
      <c r="BW149" s="465"/>
      <c r="BX149" s="410"/>
      <c r="BY149" s="410"/>
    </row>
    <row r="150" spans="1:77" hidden="1" x14ac:dyDescent="0.2">
      <c r="A150" s="377"/>
      <c r="B150" s="377"/>
      <c r="D150" s="465" t="s">
        <v>468</v>
      </c>
      <c r="E150" s="417"/>
      <c r="F150" s="478"/>
      <c r="G150" s="102">
        <v>0</v>
      </c>
      <c r="H150" s="101"/>
      <c r="I150" s="53"/>
      <c r="J150" s="518"/>
      <c r="K150" s="522"/>
      <c r="L150" s="102">
        <v>0</v>
      </c>
      <c r="M150" s="101"/>
      <c r="N150" s="53"/>
      <c r="O150" s="518"/>
      <c r="P150" s="522"/>
      <c r="Q150" s="102">
        <v>0</v>
      </c>
      <c r="R150" s="101"/>
      <c r="S150" s="53"/>
      <c r="T150" s="518"/>
      <c r="U150" s="522"/>
      <c r="V150" s="102">
        <v>0</v>
      </c>
      <c r="W150" s="101"/>
      <c r="X150" s="53"/>
      <c r="Y150" s="518"/>
      <c r="Z150" s="522"/>
      <c r="AA150" s="102">
        <v>0</v>
      </c>
      <c r="AB150" s="101"/>
      <c r="AC150" s="53"/>
      <c r="AD150" s="518"/>
      <c r="AE150" s="522"/>
      <c r="AF150" s="102">
        <v>0</v>
      </c>
      <c r="AG150" s="101"/>
      <c r="AH150" s="53"/>
      <c r="AI150" s="518"/>
      <c r="AJ150" s="522"/>
      <c r="AK150" s="102">
        <v>0</v>
      </c>
      <c r="AL150" s="101"/>
      <c r="AM150" s="53"/>
      <c r="AN150" s="518"/>
      <c r="AO150" s="522"/>
      <c r="AP150" s="102">
        <v>0</v>
      </c>
      <c r="AQ150" s="101"/>
      <c r="AR150" s="53"/>
      <c r="AS150" s="518"/>
      <c r="AT150" s="522"/>
      <c r="AU150" s="102">
        <v>0</v>
      </c>
      <c r="AV150" s="101"/>
      <c r="AW150" s="53"/>
      <c r="AX150" s="518"/>
      <c r="AY150" s="522"/>
      <c r="AZ150" s="102">
        <v>0</v>
      </c>
      <c r="BA150" s="101"/>
      <c r="BB150" s="53"/>
      <c r="BC150" s="518"/>
      <c r="BD150" s="522"/>
      <c r="BE150" s="102">
        <v>0</v>
      </c>
      <c r="BF150" s="101"/>
      <c r="BG150" s="53"/>
      <c r="BH150" s="518"/>
      <c r="BI150" s="522"/>
      <c r="BJ150" s="102">
        <v>0</v>
      </c>
      <c r="BK150" s="101"/>
      <c r="BL150" s="53"/>
      <c r="BM150" s="518"/>
      <c r="BN150" s="522"/>
      <c r="BO150" s="102">
        <v>0</v>
      </c>
      <c r="BP150" s="101"/>
      <c r="BQ150" s="53"/>
      <c r="BR150" s="518"/>
      <c r="BS150" s="522"/>
      <c r="BT150" s="102">
        <f>SUM(L150:BO150)</f>
        <v>0</v>
      </c>
      <c r="BU150" s="101"/>
      <c r="BV150" s="54"/>
      <c r="BW150" s="465"/>
      <c r="BX150" s="410"/>
      <c r="BY150" s="410"/>
    </row>
    <row r="151" spans="1:77" hidden="1" x14ac:dyDescent="0.2">
      <c r="A151" s="377"/>
      <c r="B151" s="377"/>
      <c r="D151" s="465"/>
      <c r="E151" s="417"/>
      <c r="F151" s="377"/>
      <c r="G151" s="551"/>
      <c r="H151" s="551"/>
      <c r="I151" s="551"/>
      <c r="J151" s="552"/>
      <c r="K151" s="551"/>
      <c r="L151" s="551"/>
      <c r="M151" s="551"/>
      <c r="N151" s="551"/>
      <c r="O151" s="552"/>
      <c r="P151" s="551"/>
      <c r="Q151" s="551"/>
      <c r="R151" s="551"/>
      <c r="S151" s="551"/>
      <c r="T151" s="552"/>
      <c r="U151" s="551"/>
      <c r="V151" s="551"/>
      <c r="W151" s="551"/>
      <c r="X151" s="551"/>
      <c r="Y151" s="552"/>
      <c r="Z151" s="551"/>
      <c r="AA151" s="551"/>
      <c r="AB151" s="551"/>
      <c r="AC151" s="551"/>
      <c r="AD151" s="552"/>
      <c r="AE151" s="551"/>
      <c r="AF151" s="551"/>
      <c r="AG151" s="551"/>
      <c r="AH151" s="551"/>
      <c r="AI151" s="552"/>
      <c r="AJ151" s="551"/>
      <c r="AK151" s="551"/>
      <c r="AL151" s="551"/>
      <c r="AM151" s="551"/>
      <c r="AN151" s="552"/>
      <c r="AO151" s="551"/>
      <c r="AP151" s="551"/>
      <c r="AQ151" s="551"/>
      <c r="AR151" s="551"/>
      <c r="AS151" s="552"/>
      <c r="AT151" s="551"/>
      <c r="AU151" s="551"/>
      <c r="AV151" s="551"/>
      <c r="AW151" s="551"/>
      <c r="AX151" s="552"/>
      <c r="AY151" s="551"/>
      <c r="AZ151" s="551"/>
      <c r="BA151" s="551"/>
      <c r="BB151" s="551"/>
      <c r="BC151" s="552"/>
      <c r="BD151" s="551"/>
      <c r="BE151" s="551"/>
      <c r="BF151" s="551"/>
      <c r="BG151" s="551"/>
      <c r="BH151" s="552"/>
      <c r="BI151" s="551"/>
      <c r="BJ151" s="551"/>
      <c r="BK151" s="551"/>
      <c r="BL151" s="551"/>
      <c r="BM151" s="552"/>
      <c r="BN151" s="551"/>
      <c r="BO151" s="551"/>
      <c r="BP151" s="551"/>
      <c r="BQ151" s="551"/>
      <c r="BR151" s="552"/>
      <c r="BS151" s="551"/>
      <c r="BT151" s="53"/>
      <c r="BU151" s="53"/>
      <c r="BV151" s="54"/>
      <c r="BW151" s="465"/>
      <c r="BX151" s="410"/>
      <c r="BY151" s="410"/>
    </row>
    <row r="152" spans="1:77" hidden="1" x14ac:dyDescent="0.2">
      <c r="A152" s="377"/>
      <c r="B152" s="377"/>
      <c r="D152" s="465" t="s">
        <v>474</v>
      </c>
      <c r="E152" s="417"/>
      <c r="F152" s="377"/>
      <c r="G152" s="53">
        <f>SUM(G153:G155)</f>
        <v>0</v>
      </c>
      <c r="H152" s="53"/>
      <c r="I152" s="53"/>
      <c r="J152" s="518"/>
      <c r="K152" s="53"/>
      <c r="L152" s="53">
        <f>SUM(L153:L155)</f>
        <v>0</v>
      </c>
      <c r="M152" s="53"/>
      <c r="N152" s="53"/>
      <c r="O152" s="518"/>
      <c r="P152" s="53"/>
      <c r="Q152" s="53">
        <f>SUM(Q153:Q155)</f>
        <v>0</v>
      </c>
      <c r="R152" s="53"/>
      <c r="S152" s="53"/>
      <c r="T152" s="518"/>
      <c r="U152" s="53"/>
      <c r="V152" s="53">
        <f>SUM(V153:V155)</f>
        <v>0</v>
      </c>
      <c r="W152" s="53"/>
      <c r="X152" s="53"/>
      <c r="Y152" s="518"/>
      <c r="Z152" s="53"/>
      <c r="AA152" s="53">
        <f>SUM(AA153:AA155)</f>
        <v>0</v>
      </c>
      <c r="AB152" s="53"/>
      <c r="AC152" s="53"/>
      <c r="AD152" s="518"/>
      <c r="AE152" s="53"/>
      <c r="AF152" s="53">
        <f>SUM(AF153:AF155)</f>
        <v>0</v>
      </c>
      <c r="AG152" s="53"/>
      <c r="AH152" s="53"/>
      <c r="AI152" s="518"/>
      <c r="AJ152" s="53"/>
      <c r="AK152" s="53">
        <f>SUM(AK153:AK155)</f>
        <v>0</v>
      </c>
      <c r="AL152" s="53"/>
      <c r="AM152" s="53"/>
      <c r="AN152" s="518"/>
      <c r="AO152" s="53"/>
      <c r="AP152" s="53">
        <f>SUM(AP153:AP155)</f>
        <v>0</v>
      </c>
      <c r="AQ152" s="53"/>
      <c r="AR152" s="53"/>
      <c r="AS152" s="518"/>
      <c r="AT152" s="53"/>
      <c r="AU152" s="53">
        <f>SUM(AU153:AU155)</f>
        <v>0</v>
      </c>
      <c r="AV152" s="53"/>
      <c r="AW152" s="53"/>
      <c r="AX152" s="518"/>
      <c r="AY152" s="53"/>
      <c r="AZ152" s="53">
        <f>SUM(AZ153:AZ155)</f>
        <v>0</v>
      </c>
      <c r="BA152" s="53"/>
      <c r="BB152" s="53"/>
      <c r="BC152" s="518"/>
      <c r="BD152" s="53"/>
      <c r="BE152" s="53">
        <f>SUM(BE153:BE155)</f>
        <v>0</v>
      </c>
      <c r="BF152" s="53"/>
      <c r="BG152" s="53"/>
      <c r="BH152" s="518"/>
      <c r="BI152" s="53"/>
      <c r="BJ152" s="53">
        <f>SUM(BJ153:BJ155)</f>
        <v>0</v>
      </c>
      <c r="BK152" s="53"/>
      <c r="BL152" s="53"/>
      <c r="BM152" s="518"/>
      <c r="BN152" s="53"/>
      <c r="BO152" s="53">
        <f>SUM(BO153:BO155)</f>
        <v>0</v>
      </c>
      <c r="BP152" s="53"/>
      <c r="BQ152" s="53"/>
      <c r="BR152" s="518"/>
      <c r="BS152" s="53"/>
      <c r="BT152" s="53">
        <f>SUM(BT153:BT155)</f>
        <v>0</v>
      </c>
      <c r="BU152" s="53"/>
      <c r="BV152" s="54"/>
      <c r="BW152" s="465"/>
      <c r="BX152" s="410"/>
      <c r="BY152" s="410"/>
    </row>
    <row r="153" spans="1:77" hidden="1" x14ac:dyDescent="0.2">
      <c r="A153" s="377"/>
      <c r="B153" s="377"/>
      <c r="D153" s="465" t="s">
        <v>378</v>
      </c>
      <c r="E153" s="417"/>
      <c r="F153" s="469"/>
      <c r="G153" s="520">
        <v>0</v>
      </c>
      <c r="H153" s="521"/>
      <c r="I153" s="53"/>
      <c r="J153" s="518"/>
      <c r="K153" s="519"/>
      <c r="L153" s="520">
        <v>0</v>
      </c>
      <c r="M153" s="521"/>
      <c r="N153" s="53"/>
      <c r="O153" s="518"/>
      <c r="P153" s="519"/>
      <c r="Q153" s="520">
        <v>0</v>
      </c>
      <c r="R153" s="521"/>
      <c r="S153" s="53"/>
      <c r="T153" s="518"/>
      <c r="U153" s="519"/>
      <c r="V153" s="520">
        <v>0</v>
      </c>
      <c r="W153" s="521"/>
      <c r="X153" s="53"/>
      <c r="Y153" s="518"/>
      <c r="Z153" s="519"/>
      <c r="AA153" s="520">
        <v>0</v>
      </c>
      <c r="AB153" s="521"/>
      <c r="AC153" s="53"/>
      <c r="AD153" s="518"/>
      <c r="AE153" s="519"/>
      <c r="AF153" s="520">
        <v>0</v>
      </c>
      <c r="AG153" s="521"/>
      <c r="AH153" s="53"/>
      <c r="AI153" s="518"/>
      <c r="AJ153" s="519"/>
      <c r="AK153" s="520">
        <v>0</v>
      </c>
      <c r="AL153" s="521"/>
      <c r="AM153" s="53"/>
      <c r="AN153" s="518"/>
      <c r="AO153" s="519"/>
      <c r="AP153" s="520">
        <v>0</v>
      </c>
      <c r="AQ153" s="521"/>
      <c r="AR153" s="53"/>
      <c r="AS153" s="518"/>
      <c r="AT153" s="519"/>
      <c r="AU153" s="520">
        <v>0</v>
      </c>
      <c r="AV153" s="521"/>
      <c r="AW153" s="53"/>
      <c r="AX153" s="518"/>
      <c r="AY153" s="519"/>
      <c r="AZ153" s="520">
        <v>0</v>
      </c>
      <c r="BA153" s="521"/>
      <c r="BB153" s="53"/>
      <c r="BC153" s="518"/>
      <c r="BD153" s="519"/>
      <c r="BE153" s="520">
        <v>0</v>
      </c>
      <c r="BF153" s="521"/>
      <c r="BG153" s="53"/>
      <c r="BH153" s="518"/>
      <c r="BI153" s="519"/>
      <c r="BJ153" s="520">
        <v>0</v>
      </c>
      <c r="BK153" s="521"/>
      <c r="BL153" s="53"/>
      <c r="BM153" s="518"/>
      <c r="BN153" s="519"/>
      <c r="BO153" s="520">
        <v>0</v>
      </c>
      <c r="BP153" s="521"/>
      <c r="BQ153" s="53"/>
      <c r="BR153" s="518"/>
      <c r="BS153" s="519"/>
      <c r="BT153" s="520">
        <f>SUM(L153:BO153)</f>
        <v>0</v>
      </c>
      <c r="BU153" s="521"/>
      <c r="BV153" s="54"/>
      <c r="BW153" s="465"/>
      <c r="BX153" s="410"/>
      <c r="BY153" s="410"/>
    </row>
    <row r="154" spans="1:77" hidden="1" x14ac:dyDescent="0.2">
      <c r="A154" s="377"/>
      <c r="B154" s="377"/>
      <c r="D154" s="465" t="s">
        <v>467</v>
      </c>
      <c r="E154" s="417"/>
      <c r="F154" s="417"/>
      <c r="G154" s="53">
        <v>0</v>
      </c>
      <c r="H154" s="52"/>
      <c r="I154" s="53"/>
      <c r="J154" s="518"/>
      <c r="K154" s="518"/>
      <c r="L154" s="53">
        <v>0</v>
      </c>
      <c r="M154" s="52"/>
      <c r="N154" s="53"/>
      <c r="O154" s="518"/>
      <c r="P154" s="518"/>
      <c r="Q154" s="53">
        <v>0</v>
      </c>
      <c r="R154" s="52"/>
      <c r="S154" s="53"/>
      <c r="T154" s="518"/>
      <c r="U154" s="518"/>
      <c r="V154" s="53">
        <v>0</v>
      </c>
      <c r="W154" s="52"/>
      <c r="X154" s="53"/>
      <c r="Y154" s="518"/>
      <c r="Z154" s="518"/>
      <c r="AA154" s="53">
        <v>0</v>
      </c>
      <c r="AB154" s="52"/>
      <c r="AC154" s="53"/>
      <c r="AD154" s="518"/>
      <c r="AE154" s="518"/>
      <c r="AF154" s="53">
        <v>0</v>
      </c>
      <c r="AG154" s="52"/>
      <c r="AH154" s="53"/>
      <c r="AI154" s="518"/>
      <c r="AJ154" s="518"/>
      <c r="AK154" s="53">
        <v>0</v>
      </c>
      <c r="AL154" s="52"/>
      <c r="AM154" s="53"/>
      <c r="AN154" s="518"/>
      <c r="AO154" s="518"/>
      <c r="AP154" s="53">
        <v>0</v>
      </c>
      <c r="AQ154" s="52"/>
      <c r="AR154" s="53"/>
      <c r="AS154" s="518"/>
      <c r="AT154" s="518"/>
      <c r="AU154" s="53">
        <v>0</v>
      </c>
      <c r="AV154" s="52"/>
      <c r="AW154" s="53"/>
      <c r="AX154" s="518"/>
      <c r="AY154" s="518"/>
      <c r="AZ154" s="53">
        <v>0</v>
      </c>
      <c r="BA154" s="52"/>
      <c r="BB154" s="53"/>
      <c r="BC154" s="518"/>
      <c r="BD154" s="518"/>
      <c r="BE154" s="53">
        <v>0</v>
      </c>
      <c r="BF154" s="52"/>
      <c r="BG154" s="53"/>
      <c r="BH154" s="518"/>
      <c r="BI154" s="518"/>
      <c r="BJ154" s="53">
        <v>0</v>
      </c>
      <c r="BK154" s="52"/>
      <c r="BL154" s="53"/>
      <c r="BM154" s="518"/>
      <c r="BN154" s="518"/>
      <c r="BO154" s="53">
        <v>0</v>
      </c>
      <c r="BP154" s="52"/>
      <c r="BQ154" s="53"/>
      <c r="BR154" s="518"/>
      <c r="BS154" s="518"/>
      <c r="BT154" s="53">
        <f>SUM(L154:BO154)</f>
        <v>0</v>
      </c>
      <c r="BU154" s="52"/>
      <c r="BV154" s="54"/>
      <c r="BW154" s="465"/>
      <c r="BX154" s="410"/>
      <c r="BY154" s="410"/>
    </row>
    <row r="155" spans="1:77" hidden="1" x14ac:dyDescent="0.2">
      <c r="A155" s="377"/>
      <c r="B155" s="377"/>
      <c r="D155" s="465" t="s">
        <v>468</v>
      </c>
      <c r="E155" s="417"/>
      <c r="F155" s="478"/>
      <c r="G155" s="102">
        <v>0</v>
      </c>
      <c r="H155" s="101"/>
      <c r="I155" s="53"/>
      <c r="J155" s="518"/>
      <c r="K155" s="522"/>
      <c r="L155" s="102">
        <v>0</v>
      </c>
      <c r="M155" s="101"/>
      <c r="N155" s="53"/>
      <c r="O155" s="518"/>
      <c r="P155" s="522"/>
      <c r="Q155" s="102">
        <v>0</v>
      </c>
      <c r="R155" s="101"/>
      <c r="S155" s="53"/>
      <c r="T155" s="518"/>
      <c r="U155" s="522"/>
      <c r="V155" s="102">
        <v>0</v>
      </c>
      <c r="W155" s="101"/>
      <c r="X155" s="53"/>
      <c r="Y155" s="518"/>
      <c r="Z155" s="522"/>
      <c r="AA155" s="102">
        <v>0</v>
      </c>
      <c r="AB155" s="101"/>
      <c r="AC155" s="53"/>
      <c r="AD155" s="518"/>
      <c r="AE155" s="522"/>
      <c r="AF155" s="102">
        <v>0</v>
      </c>
      <c r="AG155" s="101"/>
      <c r="AH155" s="53"/>
      <c r="AI155" s="518"/>
      <c r="AJ155" s="522"/>
      <c r="AK155" s="102">
        <v>0</v>
      </c>
      <c r="AL155" s="101"/>
      <c r="AM155" s="53"/>
      <c r="AN155" s="518"/>
      <c r="AO155" s="522"/>
      <c r="AP155" s="102">
        <v>0</v>
      </c>
      <c r="AQ155" s="101"/>
      <c r="AR155" s="53"/>
      <c r="AS155" s="518"/>
      <c r="AT155" s="522"/>
      <c r="AU155" s="102">
        <v>0</v>
      </c>
      <c r="AV155" s="101"/>
      <c r="AW155" s="53"/>
      <c r="AX155" s="518"/>
      <c r="AY155" s="522"/>
      <c r="AZ155" s="102">
        <v>0</v>
      </c>
      <c r="BA155" s="101"/>
      <c r="BB155" s="53"/>
      <c r="BC155" s="518"/>
      <c r="BD155" s="522"/>
      <c r="BE155" s="102">
        <v>0</v>
      </c>
      <c r="BF155" s="101"/>
      <c r="BG155" s="53"/>
      <c r="BH155" s="518"/>
      <c r="BI155" s="522"/>
      <c r="BJ155" s="102">
        <v>0</v>
      </c>
      <c r="BK155" s="101"/>
      <c r="BL155" s="53"/>
      <c r="BM155" s="518"/>
      <c r="BN155" s="522"/>
      <c r="BO155" s="102">
        <v>0</v>
      </c>
      <c r="BP155" s="101"/>
      <c r="BQ155" s="53"/>
      <c r="BR155" s="518"/>
      <c r="BS155" s="522"/>
      <c r="BT155" s="102">
        <f>SUM(L155:BO155)</f>
        <v>0</v>
      </c>
      <c r="BU155" s="101"/>
      <c r="BV155" s="54"/>
      <c r="BW155" s="465"/>
      <c r="BX155" s="410"/>
      <c r="BY155" s="410"/>
    </row>
    <row r="156" spans="1:77" hidden="1" x14ac:dyDescent="0.2">
      <c r="A156" s="377"/>
      <c r="B156" s="377"/>
      <c r="D156" s="465"/>
      <c r="E156" s="417"/>
      <c r="F156" s="377"/>
      <c r="G156" s="551"/>
      <c r="H156" s="551"/>
      <c r="I156" s="551"/>
      <c r="J156" s="552"/>
      <c r="K156" s="551"/>
      <c r="L156" s="551"/>
      <c r="M156" s="551"/>
      <c r="N156" s="551"/>
      <c r="O156" s="552"/>
      <c r="P156" s="551"/>
      <c r="Q156" s="551"/>
      <c r="R156" s="551"/>
      <c r="S156" s="551"/>
      <c r="T156" s="552"/>
      <c r="U156" s="551"/>
      <c r="V156" s="551"/>
      <c r="W156" s="551"/>
      <c r="X156" s="551"/>
      <c r="Y156" s="552"/>
      <c r="Z156" s="551"/>
      <c r="AA156" s="551"/>
      <c r="AB156" s="551"/>
      <c r="AC156" s="551"/>
      <c r="AD156" s="552"/>
      <c r="AE156" s="551"/>
      <c r="AF156" s="551"/>
      <c r="AG156" s="551"/>
      <c r="AH156" s="551"/>
      <c r="AI156" s="552"/>
      <c r="AJ156" s="551"/>
      <c r="AK156" s="551"/>
      <c r="AL156" s="551"/>
      <c r="AM156" s="551"/>
      <c r="AN156" s="552"/>
      <c r="AO156" s="551"/>
      <c r="AP156" s="551"/>
      <c r="AQ156" s="551"/>
      <c r="AR156" s="551"/>
      <c r="AS156" s="552"/>
      <c r="AT156" s="551"/>
      <c r="AU156" s="551"/>
      <c r="AV156" s="551"/>
      <c r="AW156" s="551"/>
      <c r="AX156" s="552"/>
      <c r="AY156" s="551"/>
      <c r="AZ156" s="551"/>
      <c r="BA156" s="551"/>
      <c r="BB156" s="551"/>
      <c r="BC156" s="552"/>
      <c r="BD156" s="551"/>
      <c r="BE156" s="551"/>
      <c r="BF156" s="551"/>
      <c r="BG156" s="551"/>
      <c r="BH156" s="552"/>
      <c r="BI156" s="551"/>
      <c r="BJ156" s="551"/>
      <c r="BK156" s="551"/>
      <c r="BL156" s="551"/>
      <c r="BM156" s="552"/>
      <c r="BN156" s="551"/>
      <c r="BO156" s="551"/>
      <c r="BP156" s="551"/>
      <c r="BQ156" s="551"/>
      <c r="BR156" s="552"/>
      <c r="BS156" s="551"/>
      <c r="BT156" s="53"/>
      <c r="BU156" s="53"/>
      <c r="BV156" s="54"/>
      <c r="BW156" s="465"/>
      <c r="BX156" s="410"/>
      <c r="BY156" s="410"/>
    </row>
    <row r="157" spans="1:77" x14ac:dyDescent="0.2">
      <c r="A157" s="377"/>
      <c r="B157" s="377"/>
      <c r="D157" s="534"/>
      <c r="E157" s="535"/>
      <c r="F157" s="448"/>
      <c r="G157" s="554"/>
      <c r="H157" s="554"/>
      <c r="I157" s="554"/>
      <c r="J157" s="555"/>
      <c r="K157" s="554"/>
      <c r="L157" s="554"/>
      <c r="M157" s="554"/>
      <c r="N157" s="554"/>
      <c r="O157" s="555"/>
      <c r="P157" s="554"/>
      <c r="Q157" s="554"/>
      <c r="R157" s="554"/>
      <c r="S157" s="554"/>
      <c r="T157" s="555"/>
      <c r="U157" s="554"/>
      <c r="V157" s="554"/>
      <c r="W157" s="554"/>
      <c r="X157" s="554"/>
      <c r="Y157" s="555"/>
      <c r="Z157" s="554"/>
      <c r="AA157" s="554"/>
      <c r="AB157" s="554"/>
      <c r="AC157" s="554"/>
      <c r="AD157" s="555"/>
      <c r="AE157" s="554"/>
      <c r="AF157" s="554"/>
      <c r="AG157" s="554"/>
      <c r="AH157" s="554"/>
      <c r="AI157" s="555"/>
      <c r="AJ157" s="554"/>
      <c r="AK157" s="554"/>
      <c r="AL157" s="554"/>
      <c r="AM157" s="554"/>
      <c r="AN157" s="555"/>
      <c r="AO157" s="554"/>
      <c r="AP157" s="554"/>
      <c r="AQ157" s="554"/>
      <c r="AR157" s="554"/>
      <c r="AS157" s="555"/>
      <c r="AT157" s="554"/>
      <c r="AU157" s="554"/>
      <c r="AV157" s="554"/>
      <c r="AW157" s="554"/>
      <c r="AX157" s="555"/>
      <c r="AY157" s="554"/>
      <c r="AZ157" s="554"/>
      <c r="BA157" s="554"/>
      <c r="BB157" s="554"/>
      <c r="BC157" s="555"/>
      <c r="BD157" s="554"/>
      <c r="BE157" s="554"/>
      <c r="BF157" s="554"/>
      <c r="BG157" s="554"/>
      <c r="BH157" s="555"/>
      <c r="BI157" s="554"/>
      <c r="BJ157" s="554"/>
      <c r="BK157" s="554"/>
      <c r="BL157" s="554"/>
      <c r="BM157" s="555"/>
      <c r="BN157" s="554"/>
      <c r="BO157" s="554"/>
      <c r="BP157" s="554"/>
      <c r="BQ157" s="554"/>
      <c r="BR157" s="555"/>
      <c r="BS157" s="554"/>
      <c r="BT157" s="111"/>
      <c r="BU157" s="111"/>
      <c r="BV157" s="112"/>
      <c r="BW157" s="465"/>
      <c r="BX157" s="410"/>
      <c r="BY157" s="410"/>
    </row>
    <row r="158" spans="1:77" x14ac:dyDescent="0.2">
      <c r="A158" s="377"/>
      <c r="B158" s="377"/>
      <c r="C158" s="377"/>
      <c r="D158" s="377"/>
      <c r="E158" s="377"/>
      <c r="F158" s="377"/>
      <c r="G158" s="551"/>
      <c r="H158" s="551"/>
      <c r="I158" s="551"/>
      <c r="J158" s="551"/>
      <c r="K158" s="551"/>
      <c r="L158" s="551"/>
      <c r="M158" s="551"/>
      <c r="N158" s="551"/>
      <c r="O158" s="551"/>
      <c r="P158" s="551"/>
      <c r="Q158" s="551"/>
      <c r="R158" s="551"/>
      <c r="S158" s="551"/>
      <c r="T158" s="551"/>
      <c r="U158" s="551"/>
      <c r="V158" s="551"/>
      <c r="W158" s="551"/>
      <c r="X158" s="551"/>
      <c r="Y158" s="551"/>
      <c r="Z158" s="551"/>
      <c r="AA158" s="551"/>
      <c r="AB158" s="551"/>
      <c r="AC158" s="551"/>
      <c r="AD158" s="556"/>
      <c r="AE158" s="556"/>
      <c r="AF158" s="556"/>
      <c r="AG158" s="556"/>
      <c r="AH158" s="556"/>
      <c r="AI158" s="556"/>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6"/>
      <c r="BM158" s="556"/>
      <c r="BN158" s="556"/>
      <c r="BO158" s="556"/>
      <c r="BP158" s="556"/>
      <c r="BQ158" s="556"/>
      <c r="BR158" s="556"/>
      <c r="BS158" s="556"/>
      <c r="BT158" s="557"/>
      <c r="BU158" s="557"/>
      <c r="BV158" s="557"/>
    </row>
    <row r="159" spans="1:77" x14ac:dyDescent="0.2">
      <c r="A159" s="377"/>
      <c r="B159" s="377"/>
      <c r="C159" s="377"/>
      <c r="D159" s="377"/>
      <c r="E159" s="377"/>
      <c r="F159" s="377"/>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1"/>
      <c r="AF159" s="551"/>
      <c r="AG159" s="551"/>
      <c r="AH159" s="551"/>
      <c r="AI159" s="551"/>
      <c r="AJ159" s="551"/>
      <c r="AK159" s="551"/>
      <c r="AL159" s="551"/>
      <c r="AM159" s="551"/>
      <c r="AN159" s="551"/>
      <c r="AO159" s="551"/>
      <c r="AP159" s="551"/>
      <c r="AQ159" s="551"/>
      <c r="AR159" s="551"/>
      <c r="AS159" s="551"/>
      <c r="AT159" s="551"/>
      <c r="AU159" s="551"/>
      <c r="AV159" s="551"/>
      <c r="AW159" s="551"/>
      <c r="AX159" s="551"/>
      <c r="AY159" s="551"/>
      <c r="AZ159" s="551"/>
      <c r="BA159" s="551"/>
      <c r="BB159" s="551"/>
      <c r="BC159" s="551"/>
      <c r="BD159" s="551"/>
      <c r="BE159" s="551"/>
      <c r="BF159" s="551"/>
      <c r="BG159" s="551"/>
      <c r="BH159" s="551"/>
      <c r="BI159" s="551"/>
      <c r="BJ159" s="551"/>
      <c r="BK159" s="551"/>
      <c r="BL159" s="551"/>
      <c r="BM159" s="551"/>
      <c r="BN159" s="551"/>
      <c r="BO159" s="551"/>
      <c r="BP159" s="551"/>
      <c r="BQ159" s="551"/>
      <c r="BR159" s="551"/>
      <c r="BS159" s="551"/>
      <c r="BT159" s="53"/>
      <c r="BU159" s="53"/>
      <c r="BV159" s="53"/>
    </row>
    <row r="160" spans="1:77" x14ac:dyDescent="0.2">
      <c r="A160" s="377"/>
      <c r="B160" s="377"/>
      <c r="C160" s="377"/>
      <c r="D160" s="377"/>
      <c r="E160" s="377"/>
      <c r="F160" s="377"/>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1"/>
      <c r="AK160" s="551"/>
      <c r="AL160" s="551"/>
      <c r="AM160" s="551"/>
      <c r="AN160" s="551"/>
      <c r="AO160" s="551"/>
      <c r="AP160" s="551"/>
      <c r="AQ160" s="551"/>
      <c r="AR160" s="551"/>
      <c r="AS160" s="551"/>
      <c r="AT160" s="551"/>
      <c r="AU160" s="551"/>
      <c r="AV160" s="551"/>
      <c r="AW160" s="551"/>
      <c r="AX160" s="551"/>
      <c r="AY160" s="551"/>
      <c r="AZ160" s="551"/>
      <c r="BA160" s="551"/>
      <c r="BB160" s="551"/>
      <c r="BC160" s="551"/>
      <c r="BD160" s="551"/>
      <c r="BE160" s="551"/>
      <c r="BF160" s="551"/>
      <c r="BG160" s="551"/>
      <c r="BH160" s="551"/>
      <c r="BI160" s="551"/>
      <c r="BJ160" s="551"/>
      <c r="BK160" s="551"/>
      <c r="BL160" s="551"/>
      <c r="BM160" s="551"/>
      <c r="BN160" s="551"/>
      <c r="BO160" s="551"/>
      <c r="BP160" s="551"/>
      <c r="BQ160" s="551"/>
      <c r="BR160" s="551"/>
      <c r="BS160" s="551"/>
      <c r="BT160" s="53"/>
      <c r="BU160" s="53"/>
      <c r="BV160" s="53"/>
    </row>
  </sheetData>
  <mergeCells count="1">
    <mergeCell ref="G8:BT8"/>
  </mergeCells>
  <pageMargins left="0.7" right="0.7" top="0.75" bottom="0.75" header="0.3" footer="0.3"/>
  <pageSetup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93"/>
  <sheetViews>
    <sheetView view="pageBreakPreview" topLeftCell="A13" zoomScale="98" zoomScaleNormal="100" zoomScaleSheetLayoutView="98" workbookViewId="0">
      <selection activeCell="CD35" sqref="CD35"/>
    </sheetView>
  </sheetViews>
  <sheetFormatPr defaultColWidth="10" defaultRowHeight="12.75" x14ac:dyDescent="0.2"/>
  <cols>
    <col min="1" max="1" width="1.85546875" style="38" customWidth="1"/>
    <col min="2" max="2" width="1" style="38" customWidth="1"/>
    <col min="3" max="3" width="0.85546875" style="38" customWidth="1"/>
    <col min="4" max="4" width="58.28515625" style="38" customWidth="1"/>
    <col min="5" max="6" width="1" style="38" customWidth="1"/>
    <col min="7" max="7" width="16.85546875" style="38" customWidth="1"/>
    <col min="8" max="11" width="1" style="38" customWidth="1"/>
    <col min="12" max="12" width="17.85546875" style="38" customWidth="1"/>
    <col min="13" max="16" width="1" style="38" customWidth="1"/>
    <col min="17" max="17" width="17.85546875" style="38" customWidth="1"/>
    <col min="18" max="21" width="1" style="38" customWidth="1"/>
    <col min="22" max="22" width="17.85546875" style="38" customWidth="1"/>
    <col min="23" max="26" width="1" style="38" customWidth="1"/>
    <col min="27" max="27" width="17.85546875" style="38" customWidth="1"/>
    <col min="28" max="31" width="1" style="38" customWidth="1"/>
    <col min="32" max="32" width="17.85546875" style="38" customWidth="1"/>
    <col min="33" max="36" width="1" style="38" customWidth="1"/>
    <col min="37" max="37" width="17.85546875" style="38" customWidth="1"/>
    <col min="38" max="39" width="1" style="38" customWidth="1"/>
    <col min="40" max="41" width="1" style="38" hidden="1" customWidth="1"/>
    <col min="42" max="42" width="17.85546875" style="38" hidden="1" customWidth="1"/>
    <col min="43" max="46" width="1" style="38" hidden="1" customWidth="1"/>
    <col min="47" max="47" width="15.7109375" style="38" hidden="1" customWidth="1"/>
    <col min="48" max="51" width="1" style="38" hidden="1" customWidth="1"/>
    <col min="52" max="52" width="17.85546875" style="38" hidden="1" customWidth="1"/>
    <col min="53" max="56" width="1" style="38" hidden="1" customWidth="1"/>
    <col min="57" max="57" width="17.85546875" style="38" hidden="1" customWidth="1"/>
    <col min="58" max="61" width="1" style="38" hidden="1" customWidth="1"/>
    <col min="62" max="62" width="17.85546875" style="38" hidden="1" customWidth="1"/>
    <col min="63" max="66" width="1" style="38" hidden="1" customWidth="1"/>
    <col min="67" max="67" width="17.85546875" style="38" hidden="1" customWidth="1"/>
    <col min="68" max="69" width="1" style="38" hidden="1" customWidth="1"/>
    <col min="70" max="71" width="1" style="38" customWidth="1"/>
    <col min="72" max="72" width="16.140625" style="38" customWidth="1"/>
    <col min="73" max="74" width="1" style="38" customWidth="1"/>
    <col min="75" max="75" width="0.7109375" style="38" customWidth="1"/>
    <col min="76" max="76" width="3.28515625" style="38" customWidth="1"/>
    <col min="77" max="77" width="10" style="38"/>
    <col min="78" max="78" width="10.42578125" style="38" bestFit="1" customWidth="1"/>
    <col min="79" max="186" width="10" style="38"/>
    <col min="187" max="187" width="1.85546875" style="38" customWidth="1"/>
    <col min="188" max="188" width="1" style="38" customWidth="1"/>
    <col min="189" max="189" width="0.85546875" style="38" customWidth="1"/>
    <col min="190" max="190" width="58.28515625" style="38" customWidth="1"/>
    <col min="191" max="192" width="1" style="38" customWidth="1"/>
    <col min="193" max="193" width="16.85546875" style="38" customWidth="1"/>
    <col min="194" max="195" width="1" style="38" customWidth="1"/>
    <col min="196" max="220" width="0" style="38" hidden="1" customWidth="1"/>
    <col min="221" max="222" width="1" style="38" customWidth="1"/>
    <col min="223" max="223" width="17.85546875" style="38" customWidth="1"/>
    <col min="224" max="225" width="1" style="38" customWidth="1"/>
    <col min="226" max="255" width="0" style="38" hidden="1" customWidth="1"/>
    <col min="256" max="257" width="1" style="38" customWidth="1"/>
    <col min="258" max="258" width="16.140625" style="38" customWidth="1"/>
    <col min="259" max="262" width="1" style="38" customWidth="1"/>
    <col min="263" max="263" width="15.140625" style="38" customWidth="1"/>
    <col min="264" max="265" width="1" style="38" customWidth="1"/>
    <col min="266" max="290" width="0" style="38" hidden="1" customWidth="1"/>
    <col min="291" max="292" width="1" style="38" customWidth="1"/>
    <col min="293" max="293" width="17.85546875" style="38" customWidth="1"/>
    <col min="294" max="295" width="1" style="38" customWidth="1"/>
    <col min="296" max="325" width="0" style="38" hidden="1" customWidth="1"/>
    <col min="326" max="327" width="1" style="38" customWidth="1"/>
    <col min="328" max="328" width="15.7109375" style="38" customWidth="1"/>
    <col min="329" max="330" width="1" style="38" customWidth="1"/>
    <col min="331" max="331" width="0.7109375" style="38" customWidth="1"/>
    <col min="332" max="332" width="3.28515625" style="38" customWidth="1"/>
    <col min="333" max="333" width="10" style="38"/>
    <col min="334" max="334" width="10.42578125" style="38" bestFit="1" customWidth="1"/>
    <col min="335" max="442" width="10" style="38"/>
    <col min="443" max="443" width="1.85546875" style="38" customWidth="1"/>
    <col min="444" max="444" width="1" style="38" customWidth="1"/>
    <col min="445" max="445" width="0.85546875" style="38" customWidth="1"/>
    <col min="446" max="446" width="58.28515625" style="38" customWidth="1"/>
    <col min="447" max="448" width="1" style="38" customWidth="1"/>
    <col min="449" max="449" width="16.85546875" style="38" customWidth="1"/>
    <col min="450" max="451" width="1" style="38" customWidth="1"/>
    <col min="452" max="476" width="0" style="38" hidden="1" customWidth="1"/>
    <col min="477" max="478" width="1" style="38" customWidth="1"/>
    <col min="479" max="479" width="17.85546875" style="38" customWidth="1"/>
    <col min="480" max="481" width="1" style="38" customWidth="1"/>
    <col min="482" max="511" width="0" style="38" hidden="1" customWidth="1"/>
    <col min="512" max="513" width="1" style="38" customWidth="1"/>
    <col min="514" max="514" width="16.140625" style="38" customWidth="1"/>
    <col min="515" max="518" width="1" style="38" customWidth="1"/>
    <col min="519" max="519" width="15.140625" style="38" customWidth="1"/>
    <col min="520" max="521" width="1" style="38" customWidth="1"/>
    <col min="522" max="546" width="0" style="38" hidden="1" customWidth="1"/>
    <col min="547" max="548" width="1" style="38" customWidth="1"/>
    <col min="549" max="549" width="17.85546875" style="38" customWidth="1"/>
    <col min="550" max="551" width="1" style="38" customWidth="1"/>
    <col min="552" max="581" width="0" style="38" hidden="1" customWidth="1"/>
    <col min="582" max="583" width="1" style="38" customWidth="1"/>
    <col min="584" max="584" width="15.7109375" style="38" customWidth="1"/>
    <col min="585" max="586" width="1" style="38" customWidth="1"/>
    <col min="587" max="587" width="0.7109375" style="38" customWidth="1"/>
    <col min="588" max="588" width="3.28515625" style="38" customWidth="1"/>
    <col min="589" max="589" width="10" style="38"/>
    <col min="590" max="590" width="10.42578125" style="38" bestFit="1" customWidth="1"/>
    <col min="591" max="698" width="10" style="38"/>
    <col min="699" max="699" width="1.85546875" style="38" customWidth="1"/>
    <col min="700" max="700" width="1" style="38" customWidth="1"/>
    <col min="701" max="701" width="0.85546875" style="38" customWidth="1"/>
    <col min="702" max="702" width="58.28515625" style="38" customWidth="1"/>
    <col min="703" max="704" width="1" style="38" customWidth="1"/>
    <col min="705" max="705" width="16.85546875" style="38" customWidth="1"/>
    <col min="706" max="707" width="1" style="38" customWidth="1"/>
    <col min="708" max="732" width="0" style="38" hidden="1" customWidth="1"/>
    <col min="733" max="734" width="1" style="38" customWidth="1"/>
    <col min="735" max="735" width="17.85546875" style="38" customWidth="1"/>
    <col min="736" max="737" width="1" style="38" customWidth="1"/>
    <col min="738" max="767" width="0" style="38" hidden="1" customWidth="1"/>
    <col min="768" max="769" width="1" style="38" customWidth="1"/>
    <col min="770" max="770" width="16.140625" style="38" customWidth="1"/>
    <col min="771" max="774" width="1" style="38" customWidth="1"/>
    <col min="775" max="775" width="15.140625" style="38" customWidth="1"/>
    <col min="776" max="777" width="1" style="38" customWidth="1"/>
    <col min="778" max="802" width="0" style="38" hidden="1" customWidth="1"/>
    <col min="803" max="804" width="1" style="38" customWidth="1"/>
    <col min="805" max="805" width="17.85546875" style="38" customWidth="1"/>
    <col min="806" max="807" width="1" style="38" customWidth="1"/>
    <col min="808" max="837" width="0" style="38" hidden="1" customWidth="1"/>
    <col min="838" max="839" width="1" style="38" customWidth="1"/>
    <col min="840" max="840" width="15.7109375" style="38" customWidth="1"/>
    <col min="841" max="842" width="1" style="38" customWidth="1"/>
    <col min="843" max="843" width="0.7109375" style="38" customWidth="1"/>
    <col min="844" max="844" width="3.28515625" style="38" customWidth="1"/>
    <col min="845" max="845" width="10" style="38"/>
    <col min="846" max="846" width="10.42578125" style="38" bestFit="1" customWidth="1"/>
    <col min="847" max="954" width="10" style="38"/>
    <col min="955" max="955" width="1.85546875" style="38" customWidth="1"/>
    <col min="956" max="956" width="1" style="38" customWidth="1"/>
    <col min="957" max="957" width="0.85546875" style="38" customWidth="1"/>
    <col min="958" max="958" width="58.28515625" style="38" customWidth="1"/>
    <col min="959" max="960" width="1" style="38" customWidth="1"/>
    <col min="961" max="961" width="16.85546875" style="38" customWidth="1"/>
    <col min="962" max="963" width="1" style="38" customWidth="1"/>
    <col min="964" max="988" width="0" style="38" hidden="1" customWidth="1"/>
    <col min="989" max="990" width="1" style="38" customWidth="1"/>
    <col min="991" max="991" width="17.85546875" style="38" customWidth="1"/>
    <col min="992" max="993" width="1" style="38" customWidth="1"/>
    <col min="994" max="1023" width="0" style="38" hidden="1" customWidth="1"/>
    <col min="1024" max="1025" width="1" style="38" customWidth="1"/>
    <col min="1026" max="1026" width="16.140625" style="38" customWidth="1"/>
    <col min="1027" max="1030" width="1" style="38" customWidth="1"/>
    <col min="1031" max="1031" width="15.140625" style="38" customWidth="1"/>
    <col min="1032" max="1033" width="1" style="38" customWidth="1"/>
    <col min="1034" max="1058" width="0" style="38" hidden="1" customWidth="1"/>
    <col min="1059" max="1060" width="1" style="38" customWidth="1"/>
    <col min="1061" max="1061" width="17.85546875" style="38" customWidth="1"/>
    <col min="1062" max="1063" width="1" style="38" customWidth="1"/>
    <col min="1064" max="1093" width="0" style="38" hidden="1" customWidth="1"/>
    <col min="1094" max="1095" width="1" style="38" customWidth="1"/>
    <col min="1096" max="1096" width="15.7109375" style="38" customWidth="1"/>
    <col min="1097" max="1098" width="1" style="38" customWidth="1"/>
    <col min="1099" max="1099" width="0.7109375" style="38" customWidth="1"/>
    <col min="1100" max="1100" width="3.28515625" style="38" customWidth="1"/>
    <col min="1101" max="1101" width="10" style="38"/>
    <col min="1102" max="1102" width="10.42578125" style="38" bestFit="1" customWidth="1"/>
    <col min="1103" max="1210" width="10" style="38"/>
    <col min="1211" max="1211" width="1.85546875" style="38" customWidth="1"/>
    <col min="1212" max="1212" width="1" style="38" customWidth="1"/>
    <col min="1213" max="1213" width="0.85546875" style="38" customWidth="1"/>
    <col min="1214" max="1214" width="58.28515625" style="38" customWidth="1"/>
    <col min="1215" max="1216" width="1" style="38" customWidth="1"/>
    <col min="1217" max="1217" width="16.85546875" style="38" customWidth="1"/>
    <col min="1218" max="1219" width="1" style="38" customWidth="1"/>
    <col min="1220" max="1244" width="0" style="38" hidden="1" customWidth="1"/>
    <col min="1245" max="1246" width="1" style="38" customWidth="1"/>
    <col min="1247" max="1247" width="17.85546875" style="38" customWidth="1"/>
    <col min="1248" max="1249" width="1" style="38" customWidth="1"/>
    <col min="1250" max="1279" width="0" style="38" hidden="1" customWidth="1"/>
    <col min="1280" max="1281" width="1" style="38" customWidth="1"/>
    <col min="1282" max="1282" width="16.140625" style="38" customWidth="1"/>
    <col min="1283" max="1286" width="1" style="38" customWidth="1"/>
    <col min="1287" max="1287" width="15.140625" style="38" customWidth="1"/>
    <col min="1288" max="1289" width="1" style="38" customWidth="1"/>
    <col min="1290" max="1314" width="0" style="38" hidden="1" customWidth="1"/>
    <col min="1315" max="1316" width="1" style="38" customWidth="1"/>
    <col min="1317" max="1317" width="17.85546875" style="38" customWidth="1"/>
    <col min="1318" max="1319" width="1" style="38" customWidth="1"/>
    <col min="1320" max="1349" width="0" style="38" hidden="1" customWidth="1"/>
    <col min="1350" max="1351" width="1" style="38" customWidth="1"/>
    <col min="1352" max="1352" width="15.7109375" style="38" customWidth="1"/>
    <col min="1353" max="1354" width="1" style="38" customWidth="1"/>
    <col min="1355" max="1355" width="0.7109375" style="38" customWidth="1"/>
    <col min="1356" max="1356" width="3.28515625" style="38" customWidth="1"/>
    <col min="1357" max="1357" width="10" style="38"/>
    <col min="1358" max="1358" width="10.42578125" style="38" bestFit="1" customWidth="1"/>
    <col min="1359" max="1466" width="10" style="38"/>
    <col min="1467" max="1467" width="1.85546875" style="38" customWidth="1"/>
    <col min="1468" max="1468" width="1" style="38" customWidth="1"/>
    <col min="1469" max="1469" width="0.85546875" style="38" customWidth="1"/>
    <col min="1470" max="1470" width="58.28515625" style="38" customWidth="1"/>
    <col min="1471" max="1472" width="1" style="38" customWidth="1"/>
    <col min="1473" max="1473" width="16.85546875" style="38" customWidth="1"/>
    <col min="1474" max="1475" width="1" style="38" customWidth="1"/>
    <col min="1476" max="1500" width="0" style="38" hidden="1" customWidth="1"/>
    <col min="1501" max="1502" width="1" style="38" customWidth="1"/>
    <col min="1503" max="1503" width="17.85546875" style="38" customWidth="1"/>
    <col min="1504" max="1505" width="1" style="38" customWidth="1"/>
    <col min="1506" max="1535" width="0" style="38" hidden="1" customWidth="1"/>
    <col min="1536" max="1537" width="1" style="38" customWidth="1"/>
    <col min="1538" max="1538" width="16.140625" style="38" customWidth="1"/>
    <col min="1539" max="1542" width="1" style="38" customWidth="1"/>
    <col min="1543" max="1543" width="15.140625" style="38" customWidth="1"/>
    <col min="1544" max="1545" width="1" style="38" customWidth="1"/>
    <col min="1546" max="1570" width="0" style="38" hidden="1" customWidth="1"/>
    <col min="1571" max="1572" width="1" style="38" customWidth="1"/>
    <col min="1573" max="1573" width="17.85546875" style="38" customWidth="1"/>
    <col min="1574" max="1575" width="1" style="38" customWidth="1"/>
    <col min="1576" max="1605" width="0" style="38" hidden="1" customWidth="1"/>
    <col min="1606" max="1607" width="1" style="38" customWidth="1"/>
    <col min="1608" max="1608" width="15.7109375" style="38" customWidth="1"/>
    <col min="1609" max="1610" width="1" style="38" customWidth="1"/>
    <col min="1611" max="1611" width="0.7109375" style="38" customWidth="1"/>
    <col min="1612" max="1612" width="3.28515625" style="38" customWidth="1"/>
    <col min="1613" max="1613" width="10" style="38"/>
    <col min="1614" max="1614" width="10.42578125" style="38" bestFit="1" customWidth="1"/>
    <col min="1615" max="1722" width="10" style="38"/>
    <col min="1723" max="1723" width="1.85546875" style="38" customWidth="1"/>
    <col min="1724" max="1724" width="1" style="38" customWidth="1"/>
    <col min="1725" max="1725" width="0.85546875" style="38" customWidth="1"/>
    <col min="1726" max="1726" width="58.28515625" style="38" customWidth="1"/>
    <col min="1727" max="1728" width="1" style="38" customWidth="1"/>
    <col min="1729" max="1729" width="16.85546875" style="38" customWidth="1"/>
    <col min="1730" max="1731" width="1" style="38" customWidth="1"/>
    <col min="1732" max="1756" width="0" style="38" hidden="1" customWidth="1"/>
    <col min="1757" max="1758" width="1" style="38" customWidth="1"/>
    <col min="1759" max="1759" width="17.85546875" style="38" customWidth="1"/>
    <col min="1760" max="1761" width="1" style="38" customWidth="1"/>
    <col min="1762" max="1791" width="0" style="38" hidden="1" customWidth="1"/>
    <col min="1792" max="1793" width="1" style="38" customWidth="1"/>
    <col min="1794" max="1794" width="16.140625" style="38" customWidth="1"/>
    <col min="1795" max="1798" width="1" style="38" customWidth="1"/>
    <col min="1799" max="1799" width="15.140625" style="38" customWidth="1"/>
    <col min="1800" max="1801" width="1" style="38" customWidth="1"/>
    <col min="1802" max="1826" width="0" style="38" hidden="1" customWidth="1"/>
    <col min="1827" max="1828" width="1" style="38" customWidth="1"/>
    <col min="1829" max="1829" width="17.85546875" style="38" customWidth="1"/>
    <col min="1830" max="1831" width="1" style="38" customWidth="1"/>
    <col min="1832" max="1861" width="0" style="38" hidden="1" customWidth="1"/>
    <col min="1862" max="1863" width="1" style="38" customWidth="1"/>
    <col min="1864" max="1864" width="15.7109375" style="38" customWidth="1"/>
    <col min="1865" max="1866" width="1" style="38" customWidth="1"/>
    <col min="1867" max="1867" width="0.7109375" style="38" customWidth="1"/>
    <col min="1868" max="1868" width="3.28515625" style="38" customWidth="1"/>
    <col min="1869" max="1869" width="10" style="38"/>
    <col min="1870" max="1870" width="10.42578125" style="38" bestFit="1" customWidth="1"/>
    <col min="1871" max="1978" width="10" style="38"/>
    <col min="1979" max="1979" width="1.85546875" style="38" customWidth="1"/>
    <col min="1980" max="1980" width="1" style="38" customWidth="1"/>
    <col min="1981" max="1981" width="0.85546875" style="38" customWidth="1"/>
    <col min="1982" max="1982" width="58.28515625" style="38" customWidth="1"/>
    <col min="1983" max="1984" width="1" style="38" customWidth="1"/>
    <col min="1985" max="1985" width="16.85546875" style="38" customWidth="1"/>
    <col min="1986" max="1987" width="1" style="38" customWidth="1"/>
    <col min="1988" max="2012" width="0" style="38" hidden="1" customWidth="1"/>
    <col min="2013" max="2014" width="1" style="38" customWidth="1"/>
    <col min="2015" max="2015" width="17.85546875" style="38" customWidth="1"/>
    <col min="2016" max="2017" width="1" style="38" customWidth="1"/>
    <col min="2018" max="2047" width="0" style="38" hidden="1" customWidth="1"/>
    <col min="2048" max="2049" width="1" style="38" customWidth="1"/>
    <col min="2050" max="2050" width="16.140625" style="38" customWidth="1"/>
    <col min="2051" max="2054" width="1" style="38" customWidth="1"/>
    <col min="2055" max="2055" width="15.140625" style="38" customWidth="1"/>
    <col min="2056" max="2057" width="1" style="38" customWidth="1"/>
    <col min="2058" max="2082" width="0" style="38" hidden="1" customWidth="1"/>
    <col min="2083" max="2084" width="1" style="38" customWidth="1"/>
    <col min="2085" max="2085" width="17.85546875" style="38" customWidth="1"/>
    <col min="2086" max="2087" width="1" style="38" customWidth="1"/>
    <col min="2088" max="2117" width="0" style="38" hidden="1" customWidth="1"/>
    <col min="2118" max="2119" width="1" style="38" customWidth="1"/>
    <col min="2120" max="2120" width="15.7109375" style="38" customWidth="1"/>
    <col min="2121" max="2122" width="1" style="38" customWidth="1"/>
    <col min="2123" max="2123" width="0.7109375" style="38" customWidth="1"/>
    <col min="2124" max="2124" width="3.28515625" style="38" customWidth="1"/>
    <col min="2125" max="2125" width="10" style="38"/>
    <col min="2126" max="2126" width="10.42578125" style="38" bestFit="1" customWidth="1"/>
    <col min="2127" max="2234" width="10" style="38"/>
    <col min="2235" max="2235" width="1.85546875" style="38" customWidth="1"/>
    <col min="2236" max="2236" width="1" style="38" customWidth="1"/>
    <col min="2237" max="2237" width="0.85546875" style="38" customWidth="1"/>
    <col min="2238" max="2238" width="58.28515625" style="38" customWidth="1"/>
    <col min="2239" max="2240" width="1" style="38" customWidth="1"/>
    <col min="2241" max="2241" width="16.85546875" style="38" customWidth="1"/>
    <col min="2242" max="2243" width="1" style="38" customWidth="1"/>
    <col min="2244" max="2268" width="0" style="38" hidden="1" customWidth="1"/>
    <col min="2269" max="2270" width="1" style="38" customWidth="1"/>
    <col min="2271" max="2271" width="17.85546875" style="38" customWidth="1"/>
    <col min="2272" max="2273" width="1" style="38" customWidth="1"/>
    <col min="2274" max="2303" width="0" style="38" hidden="1" customWidth="1"/>
    <col min="2304" max="2305" width="1" style="38" customWidth="1"/>
    <col min="2306" max="2306" width="16.140625" style="38" customWidth="1"/>
    <col min="2307" max="2310" width="1" style="38" customWidth="1"/>
    <col min="2311" max="2311" width="15.140625" style="38" customWidth="1"/>
    <col min="2312" max="2313" width="1" style="38" customWidth="1"/>
    <col min="2314" max="2338" width="0" style="38" hidden="1" customWidth="1"/>
    <col min="2339" max="2340" width="1" style="38" customWidth="1"/>
    <col min="2341" max="2341" width="17.85546875" style="38" customWidth="1"/>
    <col min="2342" max="2343" width="1" style="38" customWidth="1"/>
    <col min="2344" max="2373" width="0" style="38" hidden="1" customWidth="1"/>
    <col min="2374" max="2375" width="1" style="38" customWidth="1"/>
    <col min="2376" max="2376" width="15.7109375" style="38" customWidth="1"/>
    <col min="2377" max="2378" width="1" style="38" customWidth="1"/>
    <col min="2379" max="2379" width="0.7109375" style="38" customWidth="1"/>
    <col min="2380" max="2380" width="3.28515625" style="38" customWidth="1"/>
    <col min="2381" max="2381" width="10" style="38"/>
    <col min="2382" max="2382" width="10.42578125" style="38" bestFit="1" customWidth="1"/>
    <col min="2383" max="2490" width="10" style="38"/>
    <col min="2491" max="2491" width="1.85546875" style="38" customWidth="1"/>
    <col min="2492" max="2492" width="1" style="38" customWidth="1"/>
    <col min="2493" max="2493" width="0.85546875" style="38" customWidth="1"/>
    <col min="2494" max="2494" width="58.28515625" style="38" customWidth="1"/>
    <col min="2495" max="2496" width="1" style="38" customWidth="1"/>
    <col min="2497" max="2497" width="16.85546875" style="38" customWidth="1"/>
    <col min="2498" max="2499" width="1" style="38" customWidth="1"/>
    <col min="2500" max="2524" width="0" style="38" hidden="1" customWidth="1"/>
    <col min="2525" max="2526" width="1" style="38" customWidth="1"/>
    <col min="2527" max="2527" width="17.85546875" style="38" customWidth="1"/>
    <col min="2528" max="2529" width="1" style="38" customWidth="1"/>
    <col min="2530" max="2559" width="0" style="38" hidden="1" customWidth="1"/>
    <col min="2560" max="2561" width="1" style="38" customWidth="1"/>
    <col min="2562" max="2562" width="16.140625" style="38" customWidth="1"/>
    <col min="2563" max="2566" width="1" style="38" customWidth="1"/>
    <col min="2567" max="2567" width="15.140625" style="38" customWidth="1"/>
    <col min="2568" max="2569" width="1" style="38" customWidth="1"/>
    <col min="2570" max="2594" width="0" style="38" hidden="1" customWidth="1"/>
    <col min="2595" max="2596" width="1" style="38" customWidth="1"/>
    <col min="2597" max="2597" width="17.85546875" style="38" customWidth="1"/>
    <col min="2598" max="2599" width="1" style="38" customWidth="1"/>
    <col min="2600" max="2629" width="0" style="38" hidden="1" customWidth="1"/>
    <col min="2630" max="2631" width="1" style="38" customWidth="1"/>
    <col min="2632" max="2632" width="15.7109375" style="38" customWidth="1"/>
    <col min="2633" max="2634" width="1" style="38" customWidth="1"/>
    <col min="2635" max="2635" width="0.7109375" style="38" customWidth="1"/>
    <col min="2636" max="2636" width="3.28515625" style="38" customWidth="1"/>
    <col min="2637" max="2637" width="10" style="38"/>
    <col min="2638" max="2638" width="10.42578125" style="38" bestFit="1" customWidth="1"/>
    <col min="2639" max="2746" width="10" style="38"/>
    <col min="2747" max="2747" width="1.85546875" style="38" customWidth="1"/>
    <col min="2748" max="2748" width="1" style="38" customWidth="1"/>
    <col min="2749" max="2749" width="0.85546875" style="38" customWidth="1"/>
    <col min="2750" max="2750" width="58.28515625" style="38" customWidth="1"/>
    <col min="2751" max="2752" width="1" style="38" customWidth="1"/>
    <col min="2753" max="2753" width="16.85546875" style="38" customWidth="1"/>
    <col min="2754" max="2755" width="1" style="38" customWidth="1"/>
    <col min="2756" max="2780" width="0" style="38" hidden="1" customWidth="1"/>
    <col min="2781" max="2782" width="1" style="38" customWidth="1"/>
    <col min="2783" max="2783" width="17.85546875" style="38" customWidth="1"/>
    <col min="2784" max="2785" width="1" style="38" customWidth="1"/>
    <col min="2786" max="2815" width="0" style="38" hidden="1" customWidth="1"/>
    <col min="2816" max="2817" width="1" style="38" customWidth="1"/>
    <col min="2818" max="2818" width="16.140625" style="38" customWidth="1"/>
    <col min="2819" max="2822" width="1" style="38" customWidth="1"/>
    <col min="2823" max="2823" width="15.140625" style="38" customWidth="1"/>
    <col min="2824" max="2825" width="1" style="38" customWidth="1"/>
    <col min="2826" max="2850" width="0" style="38" hidden="1" customWidth="1"/>
    <col min="2851" max="2852" width="1" style="38" customWidth="1"/>
    <col min="2853" max="2853" width="17.85546875" style="38" customWidth="1"/>
    <col min="2854" max="2855" width="1" style="38" customWidth="1"/>
    <col min="2856" max="2885" width="0" style="38" hidden="1" customWidth="1"/>
    <col min="2886" max="2887" width="1" style="38" customWidth="1"/>
    <col min="2888" max="2888" width="15.7109375" style="38" customWidth="1"/>
    <col min="2889" max="2890" width="1" style="38" customWidth="1"/>
    <col min="2891" max="2891" width="0.7109375" style="38" customWidth="1"/>
    <col min="2892" max="2892" width="3.28515625" style="38" customWidth="1"/>
    <col min="2893" max="2893" width="10" style="38"/>
    <col min="2894" max="2894" width="10.42578125" style="38" bestFit="1" customWidth="1"/>
    <col min="2895" max="3002" width="10" style="38"/>
    <col min="3003" max="3003" width="1.85546875" style="38" customWidth="1"/>
    <col min="3004" max="3004" width="1" style="38" customWidth="1"/>
    <col min="3005" max="3005" width="0.85546875" style="38" customWidth="1"/>
    <col min="3006" max="3006" width="58.28515625" style="38" customWidth="1"/>
    <col min="3007" max="3008" width="1" style="38" customWidth="1"/>
    <col min="3009" max="3009" width="16.85546875" style="38" customWidth="1"/>
    <col min="3010" max="3011" width="1" style="38" customWidth="1"/>
    <col min="3012" max="3036" width="0" style="38" hidden="1" customWidth="1"/>
    <col min="3037" max="3038" width="1" style="38" customWidth="1"/>
    <col min="3039" max="3039" width="17.85546875" style="38" customWidth="1"/>
    <col min="3040" max="3041" width="1" style="38" customWidth="1"/>
    <col min="3042" max="3071" width="0" style="38" hidden="1" customWidth="1"/>
    <col min="3072" max="3073" width="1" style="38" customWidth="1"/>
    <col min="3074" max="3074" width="16.140625" style="38" customWidth="1"/>
    <col min="3075" max="3078" width="1" style="38" customWidth="1"/>
    <col min="3079" max="3079" width="15.140625" style="38" customWidth="1"/>
    <col min="3080" max="3081" width="1" style="38" customWidth="1"/>
    <col min="3082" max="3106" width="0" style="38" hidden="1" customWidth="1"/>
    <col min="3107" max="3108" width="1" style="38" customWidth="1"/>
    <col min="3109" max="3109" width="17.85546875" style="38" customWidth="1"/>
    <col min="3110" max="3111" width="1" style="38" customWidth="1"/>
    <col min="3112" max="3141" width="0" style="38" hidden="1" customWidth="1"/>
    <col min="3142" max="3143" width="1" style="38" customWidth="1"/>
    <col min="3144" max="3144" width="15.7109375" style="38" customWidth="1"/>
    <col min="3145" max="3146" width="1" style="38" customWidth="1"/>
    <col min="3147" max="3147" width="0.7109375" style="38" customWidth="1"/>
    <col min="3148" max="3148" width="3.28515625" style="38" customWidth="1"/>
    <col min="3149" max="3149" width="10" style="38"/>
    <col min="3150" max="3150" width="10.42578125" style="38" bestFit="1" customWidth="1"/>
    <col min="3151" max="3258" width="10" style="38"/>
    <col min="3259" max="3259" width="1.85546875" style="38" customWidth="1"/>
    <col min="3260" max="3260" width="1" style="38" customWidth="1"/>
    <col min="3261" max="3261" width="0.85546875" style="38" customWidth="1"/>
    <col min="3262" max="3262" width="58.28515625" style="38" customWidth="1"/>
    <col min="3263" max="3264" width="1" style="38" customWidth="1"/>
    <col min="3265" max="3265" width="16.85546875" style="38" customWidth="1"/>
    <col min="3266" max="3267" width="1" style="38" customWidth="1"/>
    <col min="3268" max="3292" width="0" style="38" hidden="1" customWidth="1"/>
    <col min="3293" max="3294" width="1" style="38" customWidth="1"/>
    <col min="3295" max="3295" width="17.85546875" style="38" customWidth="1"/>
    <col min="3296" max="3297" width="1" style="38" customWidth="1"/>
    <col min="3298" max="3327" width="0" style="38" hidden="1" customWidth="1"/>
    <col min="3328" max="3329" width="1" style="38" customWidth="1"/>
    <col min="3330" max="3330" width="16.140625" style="38" customWidth="1"/>
    <col min="3331" max="3334" width="1" style="38" customWidth="1"/>
    <col min="3335" max="3335" width="15.140625" style="38" customWidth="1"/>
    <col min="3336" max="3337" width="1" style="38" customWidth="1"/>
    <col min="3338" max="3362" width="0" style="38" hidden="1" customWidth="1"/>
    <col min="3363" max="3364" width="1" style="38" customWidth="1"/>
    <col min="3365" max="3365" width="17.85546875" style="38" customWidth="1"/>
    <col min="3366" max="3367" width="1" style="38" customWidth="1"/>
    <col min="3368" max="3397" width="0" style="38" hidden="1" customWidth="1"/>
    <col min="3398" max="3399" width="1" style="38" customWidth="1"/>
    <col min="3400" max="3400" width="15.7109375" style="38" customWidth="1"/>
    <col min="3401" max="3402" width="1" style="38" customWidth="1"/>
    <col min="3403" max="3403" width="0.7109375" style="38" customWidth="1"/>
    <col min="3404" max="3404" width="3.28515625" style="38" customWidth="1"/>
    <col min="3405" max="3405" width="10" style="38"/>
    <col min="3406" max="3406" width="10.42578125" style="38" bestFit="1" customWidth="1"/>
    <col min="3407" max="3514" width="10" style="38"/>
    <col min="3515" max="3515" width="1.85546875" style="38" customWidth="1"/>
    <col min="3516" max="3516" width="1" style="38" customWidth="1"/>
    <col min="3517" max="3517" width="0.85546875" style="38" customWidth="1"/>
    <col min="3518" max="3518" width="58.28515625" style="38" customWidth="1"/>
    <col min="3519" max="3520" width="1" style="38" customWidth="1"/>
    <col min="3521" max="3521" width="16.85546875" style="38" customWidth="1"/>
    <col min="3522" max="3523" width="1" style="38" customWidth="1"/>
    <col min="3524" max="3548" width="0" style="38" hidden="1" customWidth="1"/>
    <col min="3549" max="3550" width="1" style="38" customWidth="1"/>
    <col min="3551" max="3551" width="17.85546875" style="38" customWidth="1"/>
    <col min="3552" max="3553" width="1" style="38" customWidth="1"/>
    <col min="3554" max="3583" width="0" style="38" hidden="1" customWidth="1"/>
    <col min="3584" max="3585" width="1" style="38" customWidth="1"/>
    <col min="3586" max="3586" width="16.140625" style="38" customWidth="1"/>
    <col min="3587" max="3590" width="1" style="38" customWidth="1"/>
    <col min="3591" max="3591" width="15.140625" style="38" customWidth="1"/>
    <col min="3592" max="3593" width="1" style="38" customWidth="1"/>
    <col min="3594" max="3618" width="0" style="38" hidden="1" customWidth="1"/>
    <col min="3619" max="3620" width="1" style="38" customWidth="1"/>
    <col min="3621" max="3621" width="17.85546875" style="38" customWidth="1"/>
    <col min="3622" max="3623" width="1" style="38" customWidth="1"/>
    <col min="3624" max="3653" width="0" style="38" hidden="1" customWidth="1"/>
    <col min="3654" max="3655" width="1" style="38" customWidth="1"/>
    <col min="3656" max="3656" width="15.7109375" style="38" customWidth="1"/>
    <col min="3657" max="3658" width="1" style="38" customWidth="1"/>
    <col min="3659" max="3659" width="0.7109375" style="38" customWidth="1"/>
    <col min="3660" max="3660" width="3.28515625" style="38" customWidth="1"/>
    <col min="3661" max="3661" width="10" style="38"/>
    <col min="3662" max="3662" width="10.42578125" style="38" bestFit="1" customWidth="1"/>
    <col min="3663" max="3770" width="10" style="38"/>
    <col min="3771" max="3771" width="1.85546875" style="38" customWidth="1"/>
    <col min="3772" max="3772" width="1" style="38" customWidth="1"/>
    <col min="3773" max="3773" width="0.85546875" style="38" customWidth="1"/>
    <col min="3774" max="3774" width="58.28515625" style="38" customWidth="1"/>
    <col min="3775" max="3776" width="1" style="38" customWidth="1"/>
    <col min="3777" max="3777" width="16.85546875" style="38" customWidth="1"/>
    <col min="3778" max="3779" width="1" style="38" customWidth="1"/>
    <col min="3780" max="3804" width="0" style="38" hidden="1" customWidth="1"/>
    <col min="3805" max="3806" width="1" style="38" customWidth="1"/>
    <col min="3807" max="3807" width="17.85546875" style="38" customWidth="1"/>
    <col min="3808" max="3809" width="1" style="38" customWidth="1"/>
    <col min="3810" max="3839" width="0" style="38" hidden="1" customWidth="1"/>
    <col min="3840" max="3841" width="1" style="38" customWidth="1"/>
    <col min="3842" max="3842" width="16.140625" style="38" customWidth="1"/>
    <col min="3843" max="3846" width="1" style="38" customWidth="1"/>
    <col min="3847" max="3847" width="15.140625" style="38" customWidth="1"/>
    <col min="3848" max="3849" width="1" style="38" customWidth="1"/>
    <col min="3850" max="3874" width="0" style="38" hidden="1" customWidth="1"/>
    <col min="3875" max="3876" width="1" style="38" customWidth="1"/>
    <col min="3877" max="3877" width="17.85546875" style="38" customWidth="1"/>
    <col min="3878" max="3879" width="1" style="38" customWidth="1"/>
    <col min="3880" max="3909" width="0" style="38" hidden="1" customWidth="1"/>
    <col min="3910" max="3911" width="1" style="38" customWidth="1"/>
    <col min="3912" max="3912" width="15.7109375" style="38" customWidth="1"/>
    <col min="3913" max="3914" width="1" style="38" customWidth="1"/>
    <col min="3915" max="3915" width="0.7109375" style="38" customWidth="1"/>
    <col min="3916" max="3916" width="3.28515625" style="38" customWidth="1"/>
    <col min="3917" max="3917" width="10" style="38"/>
    <col min="3918" max="3918" width="10.42578125" style="38" bestFit="1" customWidth="1"/>
    <col min="3919" max="4026" width="10" style="38"/>
    <col min="4027" max="4027" width="1.85546875" style="38" customWidth="1"/>
    <col min="4028" max="4028" width="1" style="38" customWidth="1"/>
    <col min="4029" max="4029" width="0.85546875" style="38" customWidth="1"/>
    <col min="4030" max="4030" width="58.28515625" style="38" customWidth="1"/>
    <col min="4031" max="4032" width="1" style="38" customWidth="1"/>
    <col min="4033" max="4033" width="16.85546875" style="38" customWidth="1"/>
    <col min="4034" max="4035" width="1" style="38" customWidth="1"/>
    <col min="4036" max="4060" width="0" style="38" hidden="1" customWidth="1"/>
    <col min="4061" max="4062" width="1" style="38" customWidth="1"/>
    <col min="4063" max="4063" width="17.85546875" style="38" customWidth="1"/>
    <col min="4064" max="4065" width="1" style="38" customWidth="1"/>
    <col min="4066" max="4095" width="0" style="38" hidden="1" customWidth="1"/>
    <col min="4096" max="4097" width="1" style="38" customWidth="1"/>
    <col min="4098" max="4098" width="16.140625" style="38" customWidth="1"/>
    <col min="4099" max="4102" width="1" style="38" customWidth="1"/>
    <col min="4103" max="4103" width="15.140625" style="38" customWidth="1"/>
    <col min="4104" max="4105" width="1" style="38" customWidth="1"/>
    <col min="4106" max="4130" width="0" style="38" hidden="1" customWidth="1"/>
    <col min="4131" max="4132" width="1" style="38" customWidth="1"/>
    <col min="4133" max="4133" width="17.85546875" style="38" customWidth="1"/>
    <col min="4134" max="4135" width="1" style="38" customWidth="1"/>
    <col min="4136" max="4165" width="0" style="38" hidden="1" customWidth="1"/>
    <col min="4166" max="4167" width="1" style="38" customWidth="1"/>
    <col min="4168" max="4168" width="15.7109375" style="38" customWidth="1"/>
    <col min="4169" max="4170" width="1" style="38" customWidth="1"/>
    <col min="4171" max="4171" width="0.7109375" style="38" customWidth="1"/>
    <col min="4172" max="4172" width="3.28515625" style="38" customWidth="1"/>
    <col min="4173" max="4173" width="10" style="38"/>
    <col min="4174" max="4174" width="10.42578125" style="38" bestFit="1" customWidth="1"/>
    <col min="4175" max="4282" width="10" style="38"/>
    <col min="4283" max="4283" width="1.85546875" style="38" customWidth="1"/>
    <col min="4284" max="4284" width="1" style="38" customWidth="1"/>
    <col min="4285" max="4285" width="0.85546875" style="38" customWidth="1"/>
    <col min="4286" max="4286" width="58.28515625" style="38" customWidth="1"/>
    <col min="4287" max="4288" width="1" style="38" customWidth="1"/>
    <col min="4289" max="4289" width="16.85546875" style="38" customWidth="1"/>
    <col min="4290" max="4291" width="1" style="38" customWidth="1"/>
    <col min="4292" max="4316" width="0" style="38" hidden="1" customWidth="1"/>
    <col min="4317" max="4318" width="1" style="38" customWidth="1"/>
    <col min="4319" max="4319" width="17.85546875" style="38" customWidth="1"/>
    <col min="4320" max="4321" width="1" style="38" customWidth="1"/>
    <col min="4322" max="4351" width="0" style="38" hidden="1" customWidth="1"/>
    <col min="4352" max="4353" width="1" style="38" customWidth="1"/>
    <col min="4354" max="4354" width="16.140625" style="38" customWidth="1"/>
    <col min="4355" max="4358" width="1" style="38" customWidth="1"/>
    <col min="4359" max="4359" width="15.140625" style="38" customWidth="1"/>
    <col min="4360" max="4361" width="1" style="38" customWidth="1"/>
    <col min="4362" max="4386" width="0" style="38" hidden="1" customWidth="1"/>
    <col min="4387" max="4388" width="1" style="38" customWidth="1"/>
    <col min="4389" max="4389" width="17.85546875" style="38" customWidth="1"/>
    <col min="4390" max="4391" width="1" style="38" customWidth="1"/>
    <col min="4392" max="4421" width="0" style="38" hidden="1" customWidth="1"/>
    <col min="4422" max="4423" width="1" style="38" customWidth="1"/>
    <col min="4424" max="4424" width="15.7109375" style="38" customWidth="1"/>
    <col min="4425" max="4426" width="1" style="38" customWidth="1"/>
    <col min="4427" max="4427" width="0.7109375" style="38" customWidth="1"/>
    <col min="4428" max="4428" width="3.28515625" style="38" customWidth="1"/>
    <col min="4429" max="4429" width="10" style="38"/>
    <col min="4430" max="4430" width="10.42578125" style="38" bestFit="1" customWidth="1"/>
    <col min="4431" max="4538" width="10" style="38"/>
    <col min="4539" max="4539" width="1.85546875" style="38" customWidth="1"/>
    <col min="4540" max="4540" width="1" style="38" customWidth="1"/>
    <col min="4541" max="4541" width="0.85546875" style="38" customWidth="1"/>
    <col min="4542" max="4542" width="58.28515625" style="38" customWidth="1"/>
    <col min="4543" max="4544" width="1" style="38" customWidth="1"/>
    <col min="4545" max="4545" width="16.85546875" style="38" customWidth="1"/>
    <col min="4546" max="4547" width="1" style="38" customWidth="1"/>
    <col min="4548" max="4572" width="0" style="38" hidden="1" customWidth="1"/>
    <col min="4573" max="4574" width="1" style="38" customWidth="1"/>
    <col min="4575" max="4575" width="17.85546875" style="38" customWidth="1"/>
    <col min="4576" max="4577" width="1" style="38" customWidth="1"/>
    <col min="4578" max="4607" width="0" style="38" hidden="1" customWidth="1"/>
    <col min="4608" max="4609" width="1" style="38" customWidth="1"/>
    <col min="4610" max="4610" width="16.140625" style="38" customWidth="1"/>
    <col min="4611" max="4614" width="1" style="38" customWidth="1"/>
    <col min="4615" max="4615" width="15.140625" style="38" customWidth="1"/>
    <col min="4616" max="4617" width="1" style="38" customWidth="1"/>
    <col min="4618" max="4642" width="0" style="38" hidden="1" customWidth="1"/>
    <col min="4643" max="4644" width="1" style="38" customWidth="1"/>
    <col min="4645" max="4645" width="17.85546875" style="38" customWidth="1"/>
    <col min="4646" max="4647" width="1" style="38" customWidth="1"/>
    <col min="4648" max="4677" width="0" style="38" hidden="1" customWidth="1"/>
    <col min="4678" max="4679" width="1" style="38" customWidth="1"/>
    <col min="4680" max="4680" width="15.7109375" style="38" customWidth="1"/>
    <col min="4681" max="4682" width="1" style="38" customWidth="1"/>
    <col min="4683" max="4683" width="0.7109375" style="38" customWidth="1"/>
    <col min="4684" max="4684" width="3.28515625" style="38" customWidth="1"/>
    <col min="4685" max="4685" width="10" style="38"/>
    <col min="4686" max="4686" width="10.42578125" style="38" bestFit="1" customWidth="1"/>
    <col min="4687" max="4794" width="10" style="38"/>
    <col min="4795" max="4795" width="1.85546875" style="38" customWidth="1"/>
    <col min="4796" max="4796" width="1" style="38" customWidth="1"/>
    <col min="4797" max="4797" width="0.85546875" style="38" customWidth="1"/>
    <col min="4798" max="4798" width="58.28515625" style="38" customWidth="1"/>
    <col min="4799" max="4800" width="1" style="38" customWidth="1"/>
    <col min="4801" max="4801" width="16.85546875" style="38" customWidth="1"/>
    <col min="4802" max="4803" width="1" style="38" customWidth="1"/>
    <col min="4804" max="4828" width="0" style="38" hidden="1" customWidth="1"/>
    <col min="4829" max="4830" width="1" style="38" customWidth="1"/>
    <col min="4831" max="4831" width="17.85546875" style="38" customWidth="1"/>
    <col min="4832" max="4833" width="1" style="38" customWidth="1"/>
    <col min="4834" max="4863" width="0" style="38" hidden="1" customWidth="1"/>
    <col min="4864" max="4865" width="1" style="38" customWidth="1"/>
    <col min="4866" max="4866" width="16.140625" style="38" customWidth="1"/>
    <col min="4867" max="4870" width="1" style="38" customWidth="1"/>
    <col min="4871" max="4871" width="15.140625" style="38" customWidth="1"/>
    <col min="4872" max="4873" width="1" style="38" customWidth="1"/>
    <col min="4874" max="4898" width="0" style="38" hidden="1" customWidth="1"/>
    <col min="4899" max="4900" width="1" style="38" customWidth="1"/>
    <col min="4901" max="4901" width="17.85546875" style="38" customWidth="1"/>
    <col min="4902" max="4903" width="1" style="38" customWidth="1"/>
    <col min="4904" max="4933" width="0" style="38" hidden="1" customWidth="1"/>
    <col min="4934" max="4935" width="1" style="38" customWidth="1"/>
    <col min="4936" max="4936" width="15.7109375" style="38" customWidth="1"/>
    <col min="4937" max="4938" width="1" style="38" customWidth="1"/>
    <col min="4939" max="4939" width="0.7109375" style="38" customWidth="1"/>
    <col min="4940" max="4940" width="3.28515625" style="38" customWidth="1"/>
    <col min="4941" max="4941" width="10" style="38"/>
    <col min="4942" max="4942" width="10.42578125" style="38" bestFit="1" customWidth="1"/>
    <col min="4943" max="5050" width="10" style="38"/>
    <col min="5051" max="5051" width="1.85546875" style="38" customWidth="1"/>
    <col min="5052" max="5052" width="1" style="38" customWidth="1"/>
    <col min="5053" max="5053" width="0.85546875" style="38" customWidth="1"/>
    <col min="5054" max="5054" width="58.28515625" style="38" customWidth="1"/>
    <col min="5055" max="5056" width="1" style="38" customWidth="1"/>
    <col min="5057" max="5057" width="16.85546875" style="38" customWidth="1"/>
    <col min="5058" max="5059" width="1" style="38" customWidth="1"/>
    <col min="5060" max="5084" width="0" style="38" hidden="1" customWidth="1"/>
    <col min="5085" max="5086" width="1" style="38" customWidth="1"/>
    <col min="5087" max="5087" width="17.85546875" style="38" customWidth="1"/>
    <col min="5088" max="5089" width="1" style="38" customWidth="1"/>
    <col min="5090" max="5119" width="0" style="38" hidden="1" customWidth="1"/>
    <col min="5120" max="5121" width="1" style="38" customWidth="1"/>
    <col min="5122" max="5122" width="16.140625" style="38" customWidth="1"/>
    <col min="5123" max="5126" width="1" style="38" customWidth="1"/>
    <col min="5127" max="5127" width="15.140625" style="38" customWidth="1"/>
    <col min="5128" max="5129" width="1" style="38" customWidth="1"/>
    <col min="5130" max="5154" width="0" style="38" hidden="1" customWidth="1"/>
    <col min="5155" max="5156" width="1" style="38" customWidth="1"/>
    <col min="5157" max="5157" width="17.85546875" style="38" customWidth="1"/>
    <col min="5158" max="5159" width="1" style="38" customWidth="1"/>
    <col min="5160" max="5189" width="0" style="38" hidden="1" customWidth="1"/>
    <col min="5190" max="5191" width="1" style="38" customWidth="1"/>
    <col min="5192" max="5192" width="15.7109375" style="38" customWidth="1"/>
    <col min="5193" max="5194" width="1" style="38" customWidth="1"/>
    <col min="5195" max="5195" width="0.7109375" style="38" customWidth="1"/>
    <col min="5196" max="5196" width="3.28515625" style="38" customWidth="1"/>
    <col min="5197" max="5197" width="10" style="38"/>
    <col min="5198" max="5198" width="10.42578125" style="38" bestFit="1" customWidth="1"/>
    <col min="5199" max="5306" width="10" style="38"/>
    <col min="5307" max="5307" width="1.85546875" style="38" customWidth="1"/>
    <col min="5308" max="5308" width="1" style="38" customWidth="1"/>
    <col min="5309" max="5309" width="0.85546875" style="38" customWidth="1"/>
    <col min="5310" max="5310" width="58.28515625" style="38" customWidth="1"/>
    <col min="5311" max="5312" width="1" style="38" customWidth="1"/>
    <col min="5313" max="5313" width="16.85546875" style="38" customWidth="1"/>
    <col min="5314" max="5315" width="1" style="38" customWidth="1"/>
    <col min="5316" max="5340" width="0" style="38" hidden="1" customWidth="1"/>
    <col min="5341" max="5342" width="1" style="38" customWidth="1"/>
    <col min="5343" max="5343" width="17.85546875" style="38" customWidth="1"/>
    <col min="5344" max="5345" width="1" style="38" customWidth="1"/>
    <col min="5346" max="5375" width="0" style="38" hidden="1" customWidth="1"/>
    <col min="5376" max="5377" width="1" style="38" customWidth="1"/>
    <col min="5378" max="5378" width="16.140625" style="38" customWidth="1"/>
    <col min="5379" max="5382" width="1" style="38" customWidth="1"/>
    <col min="5383" max="5383" width="15.140625" style="38" customWidth="1"/>
    <col min="5384" max="5385" width="1" style="38" customWidth="1"/>
    <col min="5386" max="5410" width="0" style="38" hidden="1" customWidth="1"/>
    <col min="5411" max="5412" width="1" style="38" customWidth="1"/>
    <col min="5413" max="5413" width="17.85546875" style="38" customWidth="1"/>
    <col min="5414" max="5415" width="1" style="38" customWidth="1"/>
    <col min="5416" max="5445" width="0" style="38" hidden="1" customWidth="1"/>
    <col min="5446" max="5447" width="1" style="38" customWidth="1"/>
    <col min="5448" max="5448" width="15.7109375" style="38" customWidth="1"/>
    <col min="5449" max="5450" width="1" style="38" customWidth="1"/>
    <col min="5451" max="5451" width="0.7109375" style="38" customWidth="1"/>
    <col min="5452" max="5452" width="3.28515625" style="38" customWidth="1"/>
    <col min="5453" max="5453" width="10" style="38"/>
    <col min="5454" max="5454" width="10.42578125" style="38" bestFit="1" customWidth="1"/>
    <col min="5455" max="5562" width="10" style="38"/>
    <col min="5563" max="5563" width="1.85546875" style="38" customWidth="1"/>
    <col min="5564" max="5564" width="1" style="38" customWidth="1"/>
    <col min="5565" max="5565" width="0.85546875" style="38" customWidth="1"/>
    <col min="5566" max="5566" width="58.28515625" style="38" customWidth="1"/>
    <col min="5567" max="5568" width="1" style="38" customWidth="1"/>
    <col min="5569" max="5569" width="16.85546875" style="38" customWidth="1"/>
    <col min="5570" max="5571" width="1" style="38" customWidth="1"/>
    <col min="5572" max="5596" width="0" style="38" hidden="1" customWidth="1"/>
    <col min="5597" max="5598" width="1" style="38" customWidth="1"/>
    <col min="5599" max="5599" width="17.85546875" style="38" customWidth="1"/>
    <col min="5600" max="5601" width="1" style="38" customWidth="1"/>
    <col min="5602" max="5631" width="0" style="38" hidden="1" customWidth="1"/>
    <col min="5632" max="5633" width="1" style="38" customWidth="1"/>
    <col min="5634" max="5634" width="16.140625" style="38" customWidth="1"/>
    <col min="5635" max="5638" width="1" style="38" customWidth="1"/>
    <col min="5639" max="5639" width="15.140625" style="38" customWidth="1"/>
    <col min="5640" max="5641" width="1" style="38" customWidth="1"/>
    <col min="5642" max="5666" width="0" style="38" hidden="1" customWidth="1"/>
    <col min="5667" max="5668" width="1" style="38" customWidth="1"/>
    <col min="5669" max="5669" width="17.85546875" style="38" customWidth="1"/>
    <col min="5670" max="5671" width="1" style="38" customWidth="1"/>
    <col min="5672" max="5701" width="0" style="38" hidden="1" customWidth="1"/>
    <col min="5702" max="5703" width="1" style="38" customWidth="1"/>
    <col min="5704" max="5704" width="15.7109375" style="38" customWidth="1"/>
    <col min="5705" max="5706" width="1" style="38" customWidth="1"/>
    <col min="5707" max="5707" width="0.7109375" style="38" customWidth="1"/>
    <col min="5708" max="5708" width="3.28515625" style="38" customWidth="1"/>
    <col min="5709" max="5709" width="10" style="38"/>
    <col min="5710" max="5710" width="10.42578125" style="38" bestFit="1" customWidth="1"/>
    <col min="5711" max="5818" width="10" style="38"/>
    <col min="5819" max="5819" width="1.85546875" style="38" customWidth="1"/>
    <col min="5820" max="5820" width="1" style="38" customWidth="1"/>
    <col min="5821" max="5821" width="0.85546875" style="38" customWidth="1"/>
    <col min="5822" max="5822" width="58.28515625" style="38" customWidth="1"/>
    <col min="5823" max="5824" width="1" style="38" customWidth="1"/>
    <col min="5825" max="5825" width="16.85546875" style="38" customWidth="1"/>
    <col min="5826" max="5827" width="1" style="38" customWidth="1"/>
    <col min="5828" max="5852" width="0" style="38" hidden="1" customWidth="1"/>
    <col min="5853" max="5854" width="1" style="38" customWidth="1"/>
    <col min="5855" max="5855" width="17.85546875" style="38" customWidth="1"/>
    <col min="5856" max="5857" width="1" style="38" customWidth="1"/>
    <col min="5858" max="5887" width="0" style="38" hidden="1" customWidth="1"/>
    <col min="5888" max="5889" width="1" style="38" customWidth="1"/>
    <col min="5890" max="5890" width="16.140625" style="38" customWidth="1"/>
    <col min="5891" max="5894" width="1" style="38" customWidth="1"/>
    <col min="5895" max="5895" width="15.140625" style="38" customWidth="1"/>
    <col min="5896" max="5897" width="1" style="38" customWidth="1"/>
    <col min="5898" max="5922" width="0" style="38" hidden="1" customWidth="1"/>
    <col min="5923" max="5924" width="1" style="38" customWidth="1"/>
    <col min="5925" max="5925" width="17.85546875" style="38" customWidth="1"/>
    <col min="5926" max="5927" width="1" style="38" customWidth="1"/>
    <col min="5928" max="5957" width="0" style="38" hidden="1" customWidth="1"/>
    <col min="5958" max="5959" width="1" style="38" customWidth="1"/>
    <col min="5960" max="5960" width="15.7109375" style="38" customWidth="1"/>
    <col min="5961" max="5962" width="1" style="38" customWidth="1"/>
    <col min="5963" max="5963" width="0.7109375" style="38" customWidth="1"/>
    <col min="5964" max="5964" width="3.28515625" style="38" customWidth="1"/>
    <col min="5965" max="5965" width="10" style="38"/>
    <col min="5966" max="5966" width="10.42578125" style="38" bestFit="1" customWidth="1"/>
    <col min="5967" max="6074" width="10" style="38"/>
    <col min="6075" max="6075" width="1.85546875" style="38" customWidth="1"/>
    <col min="6076" max="6076" width="1" style="38" customWidth="1"/>
    <col min="6077" max="6077" width="0.85546875" style="38" customWidth="1"/>
    <col min="6078" max="6078" width="58.28515625" style="38" customWidth="1"/>
    <col min="6079" max="6080" width="1" style="38" customWidth="1"/>
    <col min="6081" max="6081" width="16.85546875" style="38" customWidth="1"/>
    <col min="6082" max="6083" width="1" style="38" customWidth="1"/>
    <col min="6084" max="6108" width="0" style="38" hidden="1" customWidth="1"/>
    <col min="6109" max="6110" width="1" style="38" customWidth="1"/>
    <col min="6111" max="6111" width="17.85546875" style="38" customWidth="1"/>
    <col min="6112" max="6113" width="1" style="38" customWidth="1"/>
    <col min="6114" max="6143" width="0" style="38" hidden="1" customWidth="1"/>
    <col min="6144" max="6145" width="1" style="38" customWidth="1"/>
    <col min="6146" max="6146" width="16.140625" style="38" customWidth="1"/>
    <col min="6147" max="6150" width="1" style="38" customWidth="1"/>
    <col min="6151" max="6151" width="15.140625" style="38" customWidth="1"/>
    <col min="6152" max="6153" width="1" style="38" customWidth="1"/>
    <col min="6154" max="6178" width="0" style="38" hidden="1" customWidth="1"/>
    <col min="6179" max="6180" width="1" style="38" customWidth="1"/>
    <col min="6181" max="6181" width="17.85546875" style="38" customWidth="1"/>
    <col min="6182" max="6183" width="1" style="38" customWidth="1"/>
    <col min="6184" max="6213" width="0" style="38" hidden="1" customWidth="1"/>
    <col min="6214" max="6215" width="1" style="38" customWidth="1"/>
    <col min="6216" max="6216" width="15.7109375" style="38" customWidth="1"/>
    <col min="6217" max="6218" width="1" style="38" customWidth="1"/>
    <col min="6219" max="6219" width="0.7109375" style="38" customWidth="1"/>
    <col min="6220" max="6220" width="3.28515625" style="38" customWidth="1"/>
    <col min="6221" max="6221" width="10" style="38"/>
    <col min="6222" max="6222" width="10.42578125" style="38" bestFit="1" customWidth="1"/>
    <col min="6223" max="6330" width="10" style="38"/>
    <col min="6331" max="6331" width="1.85546875" style="38" customWidth="1"/>
    <col min="6332" max="6332" width="1" style="38" customWidth="1"/>
    <col min="6333" max="6333" width="0.85546875" style="38" customWidth="1"/>
    <col min="6334" max="6334" width="58.28515625" style="38" customWidth="1"/>
    <col min="6335" max="6336" width="1" style="38" customWidth="1"/>
    <col min="6337" max="6337" width="16.85546875" style="38" customWidth="1"/>
    <col min="6338" max="6339" width="1" style="38" customWidth="1"/>
    <col min="6340" max="6364" width="0" style="38" hidden="1" customWidth="1"/>
    <col min="6365" max="6366" width="1" style="38" customWidth="1"/>
    <col min="6367" max="6367" width="17.85546875" style="38" customWidth="1"/>
    <col min="6368" max="6369" width="1" style="38" customWidth="1"/>
    <col min="6370" max="6399" width="0" style="38" hidden="1" customWidth="1"/>
    <col min="6400" max="6401" width="1" style="38" customWidth="1"/>
    <col min="6402" max="6402" width="16.140625" style="38" customWidth="1"/>
    <col min="6403" max="6406" width="1" style="38" customWidth="1"/>
    <col min="6407" max="6407" width="15.140625" style="38" customWidth="1"/>
    <col min="6408" max="6409" width="1" style="38" customWidth="1"/>
    <col min="6410" max="6434" width="0" style="38" hidden="1" customWidth="1"/>
    <col min="6435" max="6436" width="1" style="38" customWidth="1"/>
    <col min="6437" max="6437" width="17.85546875" style="38" customWidth="1"/>
    <col min="6438" max="6439" width="1" style="38" customWidth="1"/>
    <col min="6440" max="6469" width="0" style="38" hidden="1" customWidth="1"/>
    <col min="6470" max="6471" width="1" style="38" customWidth="1"/>
    <col min="6472" max="6472" width="15.7109375" style="38" customWidth="1"/>
    <col min="6473" max="6474" width="1" style="38" customWidth="1"/>
    <col min="6475" max="6475" width="0.7109375" style="38" customWidth="1"/>
    <col min="6476" max="6476" width="3.28515625" style="38" customWidth="1"/>
    <col min="6477" max="6477" width="10" style="38"/>
    <col min="6478" max="6478" width="10.42578125" style="38" bestFit="1" customWidth="1"/>
    <col min="6479" max="6586" width="10" style="38"/>
    <col min="6587" max="6587" width="1.85546875" style="38" customWidth="1"/>
    <col min="6588" max="6588" width="1" style="38" customWidth="1"/>
    <col min="6589" max="6589" width="0.85546875" style="38" customWidth="1"/>
    <col min="6590" max="6590" width="58.28515625" style="38" customWidth="1"/>
    <col min="6591" max="6592" width="1" style="38" customWidth="1"/>
    <col min="6593" max="6593" width="16.85546875" style="38" customWidth="1"/>
    <col min="6594" max="6595" width="1" style="38" customWidth="1"/>
    <col min="6596" max="6620" width="0" style="38" hidden="1" customWidth="1"/>
    <col min="6621" max="6622" width="1" style="38" customWidth="1"/>
    <col min="6623" max="6623" width="17.85546875" style="38" customWidth="1"/>
    <col min="6624" max="6625" width="1" style="38" customWidth="1"/>
    <col min="6626" max="6655" width="0" style="38" hidden="1" customWidth="1"/>
    <col min="6656" max="6657" width="1" style="38" customWidth="1"/>
    <col min="6658" max="6658" width="16.140625" style="38" customWidth="1"/>
    <col min="6659" max="6662" width="1" style="38" customWidth="1"/>
    <col min="6663" max="6663" width="15.140625" style="38" customWidth="1"/>
    <col min="6664" max="6665" width="1" style="38" customWidth="1"/>
    <col min="6666" max="6690" width="0" style="38" hidden="1" customWidth="1"/>
    <col min="6691" max="6692" width="1" style="38" customWidth="1"/>
    <col min="6693" max="6693" width="17.85546875" style="38" customWidth="1"/>
    <col min="6694" max="6695" width="1" style="38" customWidth="1"/>
    <col min="6696" max="6725" width="0" style="38" hidden="1" customWidth="1"/>
    <col min="6726" max="6727" width="1" style="38" customWidth="1"/>
    <col min="6728" max="6728" width="15.7109375" style="38" customWidth="1"/>
    <col min="6729" max="6730" width="1" style="38" customWidth="1"/>
    <col min="6731" max="6731" width="0.7109375" style="38" customWidth="1"/>
    <col min="6732" max="6732" width="3.28515625" style="38" customWidth="1"/>
    <col min="6733" max="6733" width="10" style="38"/>
    <col min="6734" max="6734" width="10.42578125" style="38" bestFit="1" customWidth="1"/>
    <col min="6735" max="6842" width="10" style="38"/>
    <col min="6843" max="6843" width="1.85546875" style="38" customWidth="1"/>
    <col min="6844" max="6844" width="1" style="38" customWidth="1"/>
    <col min="6845" max="6845" width="0.85546875" style="38" customWidth="1"/>
    <col min="6846" max="6846" width="58.28515625" style="38" customWidth="1"/>
    <col min="6847" max="6848" width="1" style="38" customWidth="1"/>
    <col min="6849" max="6849" width="16.85546875" style="38" customWidth="1"/>
    <col min="6850" max="6851" width="1" style="38" customWidth="1"/>
    <col min="6852" max="6876" width="0" style="38" hidden="1" customWidth="1"/>
    <col min="6877" max="6878" width="1" style="38" customWidth="1"/>
    <col min="6879" max="6879" width="17.85546875" style="38" customWidth="1"/>
    <col min="6880" max="6881" width="1" style="38" customWidth="1"/>
    <col min="6882" max="6911" width="0" style="38" hidden="1" customWidth="1"/>
    <col min="6912" max="6913" width="1" style="38" customWidth="1"/>
    <col min="6914" max="6914" width="16.140625" style="38" customWidth="1"/>
    <col min="6915" max="6918" width="1" style="38" customWidth="1"/>
    <col min="6919" max="6919" width="15.140625" style="38" customWidth="1"/>
    <col min="6920" max="6921" width="1" style="38" customWidth="1"/>
    <col min="6922" max="6946" width="0" style="38" hidden="1" customWidth="1"/>
    <col min="6947" max="6948" width="1" style="38" customWidth="1"/>
    <col min="6949" max="6949" width="17.85546875" style="38" customWidth="1"/>
    <col min="6950" max="6951" width="1" style="38" customWidth="1"/>
    <col min="6952" max="6981" width="0" style="38" hidden="1" customWidth="1"/>
    <col min="6982" max="6983" width="1" style="38" customWidth="1"/>
    <col min="6984" max="6984" width="15.7109375" style="38" customWidth="1"/>
    <col min="6985" max="6986" width="1" style="38" customWidth="1"/>
    <col min="6987" max="6987" width="0.7109375" style="38" customWidth="1"/>
    <col min="6988" max="6988" width="3.28515625" style="38" customWidth="1"/>
    <col min="6989" max="6989" width="10" style="38"/>
    <col min="6990" max="6990" width="10.42578125" style="38" bestFit="1" customWidth="1"/>
    <col min="6991" max="7098" width="10" style="38"/>
    <col min="7099" max="7099" width="1.85546875" style="38" customWidth="1"/>
    <col min="7100" max="7100" width="1" style="38" customWidth="1"/>
    <col min="7101" max="7101" width="0.85546875" style="38" customWidth="1"/>
    <col min="7102" max="7102" width="58.28515625" style="38" customWidth="1"/>
    <col min="7103" max="7104" width="1" style="38" customWidth="1"/>
    <col min="7105" max="7105" width="16.85546875" style="38" customWidth="1"/>
    <col min="7106" max="7107" width="1" style="38" customWidth="1"/>
    <col min="7108" max="7132" width="0" style="38" hidden="1" customWidth="1"/>
    <col min="7133" max="7134" width="1" style="38" customWidth="1"/>
    <col min="7135" max="7135" width="17.85546875" style="38" customWidth="1"/>
    <col min="7136" max="7137" width="1" style="38" customWidth="1"/>
    <col min="7138" max="7167" width="0" style="38" hidden="1" customWidth="1"/>
    <col min="7168" max="7169" width="1" style="38" customWidth="1"/>
    <col min="7170" max="7170" width="16.140625" style="38" customWidth="1"/>
    <col min="7171" max="7174" width="1" style="38" customWidth="1"/>
    <col min="7175" max="7175" width="15.140625" style="38" customWidth="1"/>
    <col min="7176" max="7177" width="1" style="38" customWidth="1"/>
    <col min="7178" max="7202" width="0" style="38" hidden="1" customWidth="1"/>
    <col min="7203" max="7204" width="1" style="38" customWidth="1"/>
    <col min="7205" max="7205" width="17.85546875" style="38" customWidth="1"/>
    <col min="7206" max="7207" width="1" style="38" customWidth="1"/>
    <col min="7208" max="7237" width="0" style="38" hidden="1" customWidth="1"/>
    <col min="7238" max="7239" width="1" style="38" customWidth="1"/>
    <col min="7240" max="7240" width="15.7109375" style="38" customWidth="1"/>
    <col min="7241" max="7242" width="1" style="38" customWidth="1"/>
    <col min="7243" max="7243" width="0.7109375" style="38" customWidth="1"/>
    <col min="7244" max="7244" width="3.28515625" style="38" customWidth="1"/>
    <col min="7245" max="7245" width="10" style="38"/>
    <col min="7246" max="7246" width="10.42578125" style="38" bestFit="1" customWidth="1"/>
    <col min="7247" max="7354" width="10" style="38"/>
    <col min="7355" max="7355" width="1.85546875" style="38" customWidth="1"/>
    <col min="7356" max="7356" width="1" style="38" customWidth="1"/>
    <col min="7357" max="7357" width="0.85546875" style="38" customWidth="1"/>
    <col min="7358" max="7358" width="58.28515625" style="38" customWidth="1"/>
    <col min="7359" max="7360" width="1" style="38" customWidth="1"/>
    <col min="7361" max="7361" width="16.85546875" style="38" customWidth="1"/>
    <col min="7362" max="7363" width="1" style="38" customWidth="1"/>
    <col min="7364" max="7388" width="0" style="38" hidden="1" customWidth="1"/>
    <col min="7389" max="7390" width="1" style="38" customWidth="1"/>
    <col min="7391" max="7391" width="17.85546875" style="38" customWidth="1"/>
    <col min="7392" max="7393" width="1" style="38" customWidth="1"/>
    <col min="7394" max="7423" width="0" style="38" hidden="1" customWidth="1"/>
    <col min="7424" max="7425" width="1" style="38" customWidth="1"/>
    <col min="7426" max="7426" width="16.140625" style="38" customWidth="1"/>
    <col min="7427" max="7430" width="1" style="38" customWidth="1"/>
    <col min="7431" max="7431" width="15.140625" style="38" customWidth="1"/>
    <col min="7432" max="7433" width="1" style="38" customWidth="1"/>
    <col min="7434" max="7458" width="0" style="38" hidden="1" customWidth="1"/>
    <col min="7459" max="7460" width="1" style="38" customWidth="1"/>
    <col min="7461" max="7461" width="17.85546875" style="38" customWidth="1"/>
    <col min="7462" max="7463" width="1" style="38" customWidth="1"/>
    <col min="7464" max="7493" width="0" style="38" hidden="1" customWidth="1"/>
    <col min="7494" max="7495" width="1" style="38" customWidth="1"/>
    <col min="7496" max="7496" width="15.7109375" style="38" customWidth="1"/>
    <col min="7497" max="7498" width="1" style="38" customWidth="1"/>
    <col min="7499" max="7499" width="0.7109375" style="38" customWidth="1"/>
    <col min="7500" max="7500" width="3.28515625" style="38" customWidth="1"/>
    <col min="7501" max="7501" width="10" style="38"/>
    <col min="7502" max="7502" width="10.42578125" style="38" bestFit="1" customWidth="1"/>
    <col min="7503" max="7610" width="10" style="38"/>
    <col min="7611" max="7611" width="1.85546875" style="38" customWidth="1"/>
    <col min="7612" max="7612" width="1" style="38" customWidth="1"/>
    <col min="7613" max="7613" width="0.85546875" style="38" customWidth="1"/>
    <col min="7614" max="7614" width="58.28515625" style="38" customWidth="1"/>
    <col min="7615" max="7616" width="1" style="38" customWidth="1"/>
    <col min="7617" max="7617" width="16.85546875" style="38" customWidth="1"/>
    <col min="7618" max="7619" width="1" style="38" customWidth="1"/>
    <col min="7620" max="7644" width="0" style="38" hidden="1" customWidth="1"/>
    <col min="7645" max="7646" width="1" style="38" customWidth="1"/>
    <col min="7647" max="7647" width="17.85546875" style="38" customWidth="1"/>
    <col min="7648" max="7649" width="1" style="38" customWidth="1"/>
    <col min="7650" max="7679" width="0" style="38" hidden="1" customWidth="1"/>
    <col min="7680" max="7681" width="1" style="38" customWidth="1"/>
    <col min="7682" max="7682" width="16.140625" style="38" customWidth="1"/>
    <col min="7683" max="7686" width="1" style="38" customWidth="1"/>
    <col min="7687" max="7687" width="15.140625" style="38" customWidth="1"/>
    <col min="7688" max="7689" width="1" style="38" customWidth="1"/>
    <col min="7690" max="7714" width="0" style="38" hidden="1" customWidth="1"/>
    <col min="7715" max="7716" width="1" style="38" customWidth="1"/>
    <col min="7717" max="7717" width="17.85546875" style="38" customWidth="1"/>
    <col min="7718" max="7719" width="1" style="38" customWidth="1"/>
    <col min="7720" max="7749" width="0" style="38" hidden="1" customWidth="1"/>
    <col min="7750" max="7751" width="1" style="38" customWidth="1"/>
    <col min="7752" max="7752" width="15.7109375" style="38" customWidth="1"/>
    <col min="7753" max="7754" width="1" style="38" customWidth="1"/>
    <col min="7755" max="7755" width="0.7109375" style="38" customWidth="1"/>
    <col min="7756" max="7756" width="3.28515625" style="38" customWidth="1"/>
    <col min="7757" max="7757" width="10" style="38"/>
    <col min="7758" max="7758" width="10.42578125" style="38" bestFit="1" customWidth="1"/>
    <col min="7759" max="7866" width="10" style="38"/>
    <col min="7867" max="7867" width="1.85546875" style="38" customWidth="1"/>
    <col min="7868" max="7868" width="1" style="38" customWidth="1"/>
    <col min="7869" max="7869" width="0.85546875" style="38" customWidth="1"/>
    <col min="7870" max="7870" width="58.28515625" style="38" customWidth="1"/>
    <col min="7871" max="7872" width="1" style="38" customWidth="1"/>
    <col min="7873" max="7873" width="16.85546875" style="38" customWidth="1"/>
    <col min="7874" max="7875" width="1" style="38" customWidth="1"/>
    <col min="7876" max="7900" width="0" style="38" hidden="1" customWidth="1"/>
    <col min="7901" max="7902" width="1" style="38" customWidth="1"/>
    <col min="7903" max="7903" width="17.85546875" style="38" customWidth="1"/>
    <col min="7904" max="7905" width="1" style="38" customWidth="1"/>
    <col min="7906" max="7935" width="0" style="38" hidden="1" customWidth="1"/>
    <col min="7936" max="7937" width="1" style="38" customWidth="1"/>
    <col min="7938" max="7938" width="16.140625" style="38" customWidth="1"/>
    <col min="7939" max="7942" width="1" style="38" customWidth="1"/>
    <col min="7943" max="7943" width="15.140625" style="38" customWidth="1"/>
    <col min="7944" max="7945" width="1" style="38" customWidth="1"/>
    <col min="7946" max="7970" width="0" style="38" hidden="1" customWidth="1"/>
    <col min="7971" max="7972" width="1" style="38" customWidth="1"/>
    <col min="7973" max="7973" width="17.85546875" style="38" customWidth="1"/>
    <col min="7974" max="7975" width="1" style="38" customWidth="1"/>
    <col min="7976" max="8005" width="0" style="38" hidden="1" customWidth="1"/>
    <col min="8006" max="8007" width="1" style="38" customWidth="1"/>
    <col min="8008" max="8008" width="15.7109375" style="38" customWidth="1"/>
    <col min="8009" max="8010" width="1" style="38" customWidth="1"/>
    <col min="8011" max="8011" width="0.7109375" style="38" customWidth="1"/>
    <col min="8012" max="8012" width="3.28515625" style="38" customWidth="1"/>
    <col min="8013" max="8013" width="10" style="38"/>
    <col min="8014" max="8014" width="10.42578125" style="38" bestFit="1" customWidth="1"/>
    <col min="8015" max="8122" width="10" style="38"/>
    <col min="8123" max="8123" width="1.85546875" style="38" customWidth="1"/>
    <col min="8124" max="8124" width="1" style="38" customWidth="1"/>
    <col min="8125" max="8125" width="0.85546875" style="38" customWidth="1"/>
    <col min="8126" max="8126" width="58.28515625" style="38" customWidth="1"/>
    <col min="8127" max="8128" width="1" style="38" customWidth="1"/>
    <col min="8129" max="8129" width="16.85546875" style="38" customWidth="1"/>
    <col min="8130" max="8131" width="1" style="38" customWidth="1"/>
    <col min="8132" max="8156" width="0" style="38" hidden="1" customWidth="1"/>
    <col min="8157" max="8158" width="1" style="38" customWidth="1"/>
    <col min="8159" max="8159" width="17.85546875" style="38" customWidth="1"/>
    <col min="8160" max="8161" width="1" style="38" customWidth="1"/>
    <col min="8162" max="8191" width="0" style="38" hidden="1" customWidth="1"/>
    <col min="8192" max="8193" width="1" style="38" customWidth="1"/>
    <col min="8194" max="8194" width="16.140625" style="38" customWidth="1"/>
    <col min="8195" max="8198" width="1" style="38" customWidth="1"/>
    <col min="8199" max="8199" width="15.140625" style="38" customWidth="1"/>
    <col min="8200" max="8201" width="1" style="38" customWidth="1"/>
    <col min="8202" max="8226" width="0" style="38" hidden="1" customWidth="1"/>
    <col min="8227" max="8228" width="1" style="38" customWidth="1"/>
    <col min="8229" max="8229" width="17.85546875" style="38" customWidth="1"/>
    <col min="8230" max="8231" width="1" style="38" customWidth="1"/>
    <col min="8232" max="8261" width="0" style="38" hidden="1" customWidth="1"/>
    <col min="8262" max="8263" width="1" style="38" customWidth="1"/>
    <col min="8264" max="8264" width="15.7109375" style="38" customWidth="1"/>
    <col min="8265" max="8266" width="1" style="38" customWidth="1"/>
    <col min="8267" max="8267" width="0.7109375" style="38" customWidth="1"/>
    <col min="8268" max="8268" width="3.28515625" style="38" customWidth="1"/>
    <col min="8269" max="8269" width="10" style="38"/>
    <col min="8270" max="8270" width="10.42578125" style="38" bestFit="1" customWidth="1"/>
    <col min="8271" max="8378" width="10" style="38"/>
    <col min="8379" max="8379" width="1.85546875" style="38" customWidth="1"/>
    <col min="8380" max="8380" width="1" style="38" customWidth="1"/>
    <col min="8381" max="8381" width="0.85546875" style="38" customWidth="1"/>
    <col min="8382" max="8382" width="58.28515625" style="38" customWidth="1"/>
    <col min="8383" max="8384" width="1" style="38" customWidth="1"/>
    <col min="8385" max="8385" width="16.85546875" style="38" customWidth="1"/>
    <col min="8386" max="8387" width="1" style="38" customWidth="1"/>
    <col min="8388" max="8412" width="0" style="38" hidden="1" customWidth="1"/>
    <col min="8413" max="8414" width="1" style="38" customWidth="1"/>
    <col min="8415" max="8415" width="17.85546875" style="38" customWidth="1"/>
    <col min="8416" max="8417" width="1" style="38" customWidth="1"/>
    <col min="8418" max="8447" width="0" style="38" hidden="1" customWidth="1"/>
    <col min="8448" max="8449" width="1" style="38" customWidth="1"/>
    <col min="8450" max="8450" width="16.140625" style="38" customWidth="1"/>
    <col min="8451" max="8454" width="1" style="38" customWidth="1"/>
    <col min="8455" max="8455" width="15.140625" style="38" customWidth="1"/>
    <col min="8456" max="8457" width="1" style="38" customWidth="1"/>
    <col min="8458" max="8482" width="0" style="38" hidden="1" customWidth="1"/>
    <col min="8483" max="8484" width="1" style="38" customWidth="1"/>
    <col min="8485" max="8485" width="17.85546875" style="38" customWidth="1"/>
    <col min="8486" max="8487" width="1" style="38" customWidth="1"/>
    <col min="8488" max="8517" width="0" style="38" hidden="1" customWidth="1"/>
    <col min="8518" max="8519" width="1" style="38" customWidth="1"/>
    <col min="8520" max="8520" width="15.7109375" style="38" customWidth="1"/>
    <col min="8521" max="8522" width="1" style="38" customWidth="1"/>
    <col min="8523" max="8523" width="0.7109375" style="38" customWidth="1"/>
    <col min="8524" max="8524" width="3.28515625" style="38" customWidth="1"/>
    <col min="8525" max="8525" width="10" style="38"/>
    <col min="8526" max="8526" width="10.42578125" style="38" bestFit="1" customWidth="1"/>
    <col min="8527" max="8634" width="10" style="38"/>
    <col min="8635" max="8635" width="1.85546875" style="38" customWidth="1"/>
    <col min="8636" max="8636" width="1" style="38" customWidth="1"/>
    <col min="8637" max="8637" width="0.85546875" style="38" customWidth="1"/>
    <col min="8638" max="8638" width="58.28515625" style="38" customWidth="1"/>
    <col min="8639" max="8640" width="1" style="38" customWidth="1"/>
    <col min="8641" max="8641" width="16.85546875" style="38" customWidth="1"/>
    <col min="8642" max="8643" width="1" style="38" customWidth="1"/>
    <col min="8644" max="8668" width="0" style="38" hidden="1" customWidth="1"/>
    <col min="8669" max="8670" width="1" style="38" customWidth="1"/>
    <col min="8671" max="8671" width="17.85546875" style="38" customWidth="1"/>
    <col min="8672" max="8673" width="1" style="38" customWidth="1"/>
    <col min="8674" max="8703" width="0" style="38" hidden="1" customWidth="1"/>
    <col min="8704" max="8705" width="1" style="38" customWidth="1"/>
    <col min="8706" max="8706" width="16.140625" style="38" customWidth="1"/>
    <col min="8707" max="8710" width="1" style="38" customWidth="1"/>
    <col min="8711" max="8711" width="15.140625" style="38" customWidth="1"/>
    <col min="8712" max="8713" width="1" style="38" customWidth="1"/>
    <col min="8714" max="8738" width="0" style="38" hidden="1" customWidth="1"/>
    <col min="8739" max="8740" width="1" style="38" customWidth="1"/>
    <col min="8741" max="8741" width="17.85546875" style="38" customWidth="1"/>
    <col min="8742" max="8743" width="1" style="38" customWidth="1"/>
    <col min="8744" max="8773" width="0" style="38" hidden="1" customWidth="1"/>
    <col min="8774" max="8775" width="1" style="38" customWidth="1"/>
    <col min="8776" max="8776" width="15.7109375" style="38" customWidth="1"/>
    <col min="8777" max="8778" width="1" style="38" customWidth="1"/>
    <col min="8779" max="8779" width="0.7109375" style="38" customWidth="1"/>
    <col min="8780" max="8780" width="3.28515625" style="38" customWidth="1"/>
    <col min="8781" max="8781" width="10" style="38"/>
    <col min="8782" max="8782" width="10.42578125" style="38" bestFit="1" customWidth="1"/>
    <col min="8783" max="8890" width="10" style="38"/>
    <col min="8891" max="8891" width="1.85546875" style="38" customWidth="1"/>
    <col min="8892" max="8892" width="1" style="38" customWidth="1"/>
    <col min="8893" max="8893" width="0.85546875" style="38" customWidth="1"/>
    <col min="8894" max="8894" width="58.28515625" style="38" customWidth="1"/>
    <col min="8895" max="8896" width="1" style="38" customWidth="1"/>
    <col min="8897" max="8897" width="16.85546875" style="38" customWidth="1"/>
    <col min="8898" max="8899" width="1" style="38" customWidth="1"/>
    <col min="8900" max="8924" width="0" style="38" hidden="1" customWidth="1"/>
    <col min="8925" max="8926" width="1" style="38" customWidth="1"/>
    <col min="8927" max="8927" width="17.85546875" style="38" customWidth="1"/>
    <col min="8928" max="8929" width="1" style="38" customWidth="1"/>
    <col min="8930" max="8959" width="0" style="38" hidden="1" customWidth="1"/>
    <col min="8960" max="8961" width="1" style="38" customWidth="1"/>
    <col min="8962" max="8962" width="16.140625" style="38" customWidth="1"/>
    <col min="8963" max="8966" width="1" style="38" customWidth="1"/>
    <col min="8967" max="8967" width="15.140625" style="38" customWidth="1"/>
    <col min="8968" max="8969" width="1" style="38" customWidth="1"/>
    <col min="8970" max="8994" width="0" style="38" hidden="1" customWidth="1"/>
    <col min="8995" max="8996" width="1" style="38" customWidth="1"/>
    <col min="8997" max="8997" width="17.85546875" style="38" customWidth="1"/>
    <col min="8998" max="8999" width="1" style="38" customWidth="1"/>
    <col min="9000" max="9029" width="0" style="38" hidden="1" customWidth="1"/>
    <col min="9030" max="9031" width="1" style="38" customWidth="1"/>
    <col min="9032" max="9032" width="15.7109375" style="38" customWidth="1"/>
    <col min="9033" max="9034" width="1" style="38" customWidth="1"/>
    <col min="9035" max="9035" width="0.7109375" style="38" customWidth="1"/>
    <col min="9036" max="9036" width="3.28515625" style="38" customWidth="1"/>
    <col min="9037" max="9037" width="10" style="38"/>
    <col min="9038" max="9038" width="10.42578125" style="38" bestFit="1" customWidth="1"/>
    <col min="9039" max="9146" width="10" style="38"/>
    <col min="9147" max="9147" width="1.85546875" style="38" customWidth="1"/>
    <col min="9148" max="9148" width="1" style="38" customWidth="1"/>
    <col min="9149" max="9149" width="0.85546875" style="38" customWidth="1"/>
    <col min="9150" max="9150" width="58.28515625" style="38" customWidth="1"/>
    <col min="9151" max="9152" width="1" style="38" customWidth="1"/>
    <col min="9153" max="9153" width="16.85546875" style="38" customWidth="1"/>
    <col min="9154" max="9155" width="1" style="38" customWidth="1"/>
    <col min="9156" max="9180" width="0" style="38" hidden="1" customWidth="1"/>
    <col min="9181" max="9182" width="1" style="38" customWidth="1"/>
    <col min="9183" max="9183" width="17.85546875" style="38" customWidth="1"/>
    <col min="9184" max="9185" width="1" style="38" customWidth="1"/>
    <col min="9186" max="9215" width="0" style="38" hidden="1" customWidth="1"/>
    <col min="9216" max="9217" width="1" style="38" customWidth="1"/>
    <col min="9218" max="9218" width="16.140625" style="38" customWidth="1"/>
    <col min="9219" max="9222" width="1" style="38" customWidth="1"/>
    <col min="9223" max="9223" width="15.140625" style="38" customWidth="1"/>
    <col min="9224" max="9225" width="1" style="38" customWidth="1"/>
    <col min="9226" max="9250" width="0" style="38" hidden="1" customWidth="1"/>
    <col min="9251" max="9252" width="1" style="38" customWidth="1"/>
    <col min="9253" max="9253" width="17.85546875" style="38" customWidth="1"/>
    <col min="9254" max="9255" width="1" style="38" customWidth="1"/>
    <col min="9256" max="9285" width="0" style="38" hidden="1" customWidth="1"/>
    <col min="9286" max="9287" width="1" style="38" customWidth="1"/>
    <col min="9288" max="9288" width="15.7109375" style="38" customWidth="1"/>
    <col min="9289" max="9290" width="1" style="38" customWidth="1"/>
    <col min="9291" max="9291" width="0.7109375" style="38" customWidth="1"/>
    <col min="9292" max="9292" width="3.28515625" style="38" customWidth="1"/>
    <col min="9293" max="9293" width="10" style="38"/>
    <col min="9294" max="9294" width="10.42578125" style="38" bestFit="1" customWidth="1"/>
    <col min="9295" max="9402" width="10" style="38"/>
    <col min="9403" max="9403" width="1.85546875" style="38" customWidth="1"/>
    <col min="9404" max="9404" width="1" style="38" customWidth="1"/>
    <col min="9405" max="9405" width="0.85546875" style="38" customWidth="1"/>
    <col min="9406" max="9406" width="58.28515625" style="38" customWidth="1"/>
    <col min="9407" max="9408" width="1" style="38" customWidth="1"/>
    <col min="9409" max="9409" width="16.85546875" style="38" customWidth="1"/>
    <col min="9410" max="9411" width="1" style="38" customWidth="1"/>
    <col min="9412" max="9436" width="0" style="38" hidden="1" customWidth="1"/>
    <col min="9437" max="9438" width="1" style="38" customWidth="1"/>
    <col min="9439" max="9439" width="17.85546875" style="38" customWidth="1"/>
    <col min="9440" max="9441" width="1" style="38" customWidth="1"/>
    <col min="9442" max="9471" width="0" style="38" hidden="1" customWidth="1"/>
    <col min="9472" max="9473" width="1" style="38" customWidth="1"/>
    <col min="9474" max="9474" width="16.140625" style="38" customWidth="1"/>
    <col min="9475" max="9478" width="1" style="38" customWidth="1"/>
    <col min="9479" max="9479" width="15.140625" style="38" customWidth="1"/>
    <col min="9480" max="9481" width="1" style="38" customWidth="1"/>
    <col min="9482" max="9506" width="0" style="38" hidden="1" customWidth="1"/>
    <col min="9507" max="9508" width="1" style="38" customWidth="1"/>
    <col min="9509" max="9509" width="17.85546875" style="38" customWidth="1"/>
    <col min="9510" max="9511" width="1" style="38" customWidth="1"/>
    <col min="9512" max="9541" width="0" style="38" hidden="1" customWidth="1"/>
    <col min="9542" max="9543" width="1" style="38" customWidth="1"/>
    <col min="9544" max="9544" width="15.7109375" style="38" customWidth="1"/>
    <col min="9545" max="9546" width="1" style="38" customWidth="1"/>
    <col min="9547" max="9547" width="0.7109375" style="38" customWidth="1"/>
    <col min="9548" max="9548" width="3.28515625" style="38" customWidth="1"/>
    <col min="9549" max="9549" width="10" style="38"/>
    <col min="9550" max="9550" width="10.42578125" style="38" bestFit="1" customWidth="1"/>
    <col min="9551" max="9658" width="10" style="38"/>
    <col min="9659" max="9659" width="1.85546875" style="38" customWidth="1"/>
    <col min="9660" max="9660" width="1" style="38" customWidth="1"/>
    <col min="9661" max="9661" width="0.85546875" style="38" customWidth="1"/>
    <col min="9662" max="9662" width="58.28515625" style="38" customWidth="1"/>
    <col min="9663" max="9664" width="1" style="38" customWidth="1"/>
    <col min="9665" max="9665" width="16.85546875" style="38" customWidth="1"/>
    <col min="9666" max="9667" width="1" style="38" customWidth="1"/>
    <col min="9668" max="9692" width="0" style="38" hidden="1" customWidth="1"/>
    <col min="9693" max="9694" width="1" style="38" customWidth="1"/>
    <col min="9695" max="9695" width="17.85546875" style="38" customWidth="1"/>
    <col min="9696" max="9697" width="1" style="38" customWidth="1"/>
    <col min="9698" max="9727" width="0" style="38" hidden="1" customWidth="1"/>
    <col min="9728" max="9729" width="1" style="38" customWidth="1"/>
    <col min="9730" max="9730" width="16.140625" style="38" customWidth="1"/>
    <col min="9731" max="9734" width="1" style="38" customWidth="1"/>
    <col min="9735" max="9735" width="15.140625" style="38" customWidth="1"/>
    <col min="9736" max="9737" width="1" style="38" customWidth="1"/>
    <col min="9738" max="9762" width="0" style="38" hidden="1" customWidth="1"/>
    <col min="9763" max="9764" width="1" style="38" customWidth="1"/>
    <col min="9765" max="9765" width="17.85546875" style="38" customWidth="1"/>
    <col min="9766" max="9767" width="1" style="38" customWidth="1"/>
    <col min="9768" max="9797" width="0" style="38" hidden="1" customWidth="1"/>
    <col min="9798" max="9799" width="1" style="38" customWidth="1"/>
    <col min="9800" max="9800" width="15.7109375" style="38" customWidth="1"/>
    <col min="9801" max="9802" width="1" style="38" customWidth="1"/>
    <col min="9803" max="9803" width="0.7109375" style="38" customWidth="1"/>
    <col min="9804" max="9804" width="3.28515625" style="38" customWidth="1"/>
    <col min="9805" max="9805" width="10" style="38"/>
    <col min="9806" max="9806" width="10.42578125" style="38" bestFit="1" customWidth="1"/>
    <col min="9807" max="9914" width="10" style="38"/>
    <col min="9915" max="9915" width="1.85546875" style="38" customWidth="1"/>
    <col min="9916" max="9916" width="1" style="38" customWidth="1"/>
    <col min="9917" max="9917" width="0.85546875" style="38" customWidth="1"/>
    <col min="9918" max="9918" width="58.28515625" style="38" customWidth="1"/>
    <col min="9919" max="9920" width="1" style="38" customWidth="1"/>
    <col min="9921" max="9921" width="16.85546875" style="38" customWidth="1"/>
    <col min="9922" max="9923" width="1" style="38" customWidth="1"/>
    <col min="9924" max="9948" width="0" style="38" hidden="1" customWidth="1"/>
    <col min="9949" max="9950" width="1" style="38" customWidth="1"/>
    <col min="9951" max="9951" width="17.85546875" style="38" customWidth="1"/>
    <col min="9952" max="9953" width="1" style="38" customWidth="1"/>
    <col min="9954" max="9983" width="0" style="38" hidden="1" customWidth="1"/>
    <col min="9984" max="9985" width="1" style="38" customWidth="1"/>
    <col min="9986" max="9986" width="16.140625" style="38" customWidth="1"/>
    <col min="9987" max="9990" width="1" style="38" customWidth="1"/>
    <col min="9991" max="9991" width="15.140625" style="38" customWidth="1"/>
    <col min="9992" max="9993" width="1" style="38" customWidth="1"/>
    <col min="9994" max="10018" width="0" style="38" hidden="1" customWidth="1"/>
    <col min="10019" max="10020" width="1" style="38" customWidth="1"/>
    <col min="10021" max="10021" width="17.85546875" style="38" customWidth="1"/>
    <col min="10022" max="10023" width="1" style="38" customWidth="1"/>
    <col min="10024" max="10053" width="0" style="38" hidden="1" customWidth="1"/>
    <col min="10054" max="10055" width="1" style="38" customWidth="1"/>
    <col min="10056" max="10056" width="15.7109375" style="38" customWidth="1"/>
    <col min="10057" max="10058" width="1" style="38" customWidth="1"/>
    <col min="10059" max="10059" width="0.7109375" style="38" customWidth="1"/>
    <col min="10060" max="10060" width="3.28515625" style="38" customWidth="1"/>
    <col min="10061" max="10061" width="10" style="38"/>
    <col min="10062" max="10062" width="10.42578125" style="38" bestFit="1" customWidth="1"/>
    <col min="10063" max="10170" width="10" style="38"/>
    <col min="10171" max="10171" width="1.85546875" style="38" customWidth="1"/>
    <col min="10172" max="10172" width="1" style="38" customWidth="1"/>
    <col min="10173" max="10173" width="0.85546875" style="38" customWidth="1"/>
    <col min="10174" max="10174" width="58.28515625" style="38" customWidth="1"/>
    <col min="10175" max="10176" width="1" style="38" customWidth="1"/>
    <col min="10177" max="10177" width="16.85546875" style="38" customWidth="1"/>
    <col min="10178" max="10179" width="1" style="38" customWidth="1"/>
    <col min="10180" max="10204" width="0" style="38" hidden="1" customWidth="1"/>
    <col min="10205" max="10206" width="1" style="38" customWidth="1"/>
    <col min="10207" max="10207" width="17.85546875" style="38" customWidth="1"/>
    <col min="10208" max="10209" width="1" style="38" customWidth="1"/>
    <col min="10210" max="10239" width="0" style="38" hidden="1" customWidth="1"/>
    <col min="10240" max="10241" width="1" style="38" customWidth="1"/>
    <col min="10242" max="10242" width="16.140625" style="38" customWidth="1"/>
    <col min="10243" max="10246" width="1" style="38" customWidth="1"/>
    <col min="10247" max="10247" width="15.140625" style="38" customWidth="1"/>
    <col min="10248" max="10249" width="1" style="38" customWidth="1"/>
    <col min="10250" max="10274" width="0" style="38" hidden="1" customWidth="1"/>
    <col min="10275" max="10276" width="1" style="38" customWidth="1"/>
    <col min="10277" max="10277" width="17.85546875" style="38" customWidth="1"/>
    <col min="10278" max="10279" width="1" style="38" customWidth="1"/>
    <col min="10280" max="10309" width="0" style="38" hidden="1" customWidth="1"/>
    <col min="10310" max="10311" width="1" style="38" customWidth="1"/>
    <col min="10312" max="10312" width="15.7109375" style="38" customWidth="1"/>
    <col min="10313" max="10314" width="1" style="38" customWidth="1"/>
    <col min="10315" max="10315" width="0.7109375" style="38" customWidth="1"/>
    <col min="10316" max="10316" width="3.28515625" style="38" customWidth="1"/>
    <col min="10317" max="10317" width="10" style="38"/>
    <col min="10318" max="10318" width="10.42578125" style="38" bestFit="1" customWidth="1"/>
    <col min="10319" max="10426" width="10" style="38"/>
    <col min="10427" max="10427" width="1.85546875" style="38" customWidth="1"/>
    <col min="10428" max="10428" width="1" style="38" customWidth="1"/>
    <col min="10429" max="10429" width="0.85546875" style="38" customWidth="1"/>
    <col min="10430" max="10430" width="58.28515625" style="38" customWidth="1"/>
    <col min="10431" max="10432" width="1" style="38" customWidth="1"/>
    <col min="10433" max="10433" width="16.85546875" style="38" customWidth="1"/>
    <col min="10434" max="10435" width="1" style="38" customWidth="1"/>
    <col min="10436" max="10460" width="0" style="38" hidden="1" customWidth="1"/>
    <col min="10461" max="10462" width="1" style="38" customWidth="1"/>
    <col min="10463" max="10463" width="17.85546875" style="38" customWidth="1"/>
    <col min="10464" max="10465" width="1" style="38" customWidth="1"/>
    <col min="10466" max="10495" width="0" style="38" hidden="1" customWidth="1"/>
    <col min="10496" max="10497" width="1" style="38" customWidth="1"/>
    <col min="10498" max="10498" width="16.140625" style="38" customWidth="1"/>
    <col min="10499" max="10502" width="1" style="38" customWidth="1"/>
    <col min="10503" max="10503" width="15.140625" style="38" customWidth="1"/>
    <col min="10504" max="10505" width="1" style="38" customWidth="1"/>
    <col min="10506" max="10530" width="0" style="38" hidden="1" customWidth="1"/>
    <col min="10531" max="10532" width="1" style="38" customWidth="1"/>
    <col min="10533" max="10533" width="17.85546875" style="38" customWidth="1"/>
    <col min="10534" max="10535" width="1" style="38" customWidth="1"/>
    <col min="10536" max="10565" width="0" style="38" hidden="1" customWidth="1"/>
    <col min="10566" max="10567" width="1" style="38" customWidth="1"/>
    <col min="10568" max="10568" width="15.7109375" style="38" customWidth="1"/>
    <col min="10569" max="10570" width="1" style="38" customWidth="1"/>
    <col min="10571" max="10571" width="0.7109375" style="38" customWidth="1"/>
    <col min="10572" max="10572" width="3.28515625" style="38" customWidth="1"/>
    <col min="10573" max="10573" width="10" style="38"/>
    <col min="10574" max="10574" width="10.42578125" style="38" bestFit="1" customWidth="1"/>
    <col min="10575" max="10682" width="10" style="38"/>
    <col min="10683" max="10683" width="1.85546875" style="38" customWidth="1"/>
    <col min="10684" max="10684" width="1" style="38" customWidth="1"/>
    <col min="10685" max="10685" width="0.85546875" style="38" customWidth="1"/>
    <col min="10686" max="10686" width="58.28515625" style="38" customWidth="1"/>
    <col min="10687" max="10688" width="1" style="38" customWidth="1"/>
    <col min="10689" max="10689" width="16.85546875" style="38" customWidth="1"/>
    <col min="10690" max="10691" width="1" style="38" customWidth="1"/>
    <col min="10692" max="10716" width="0" style="38" hidden="1" customWidth="1"/>
    <col min="10717" max="10718" width="1" style="38" customWidth="1"/>
    <col min="10719" max="10719" width="17.85546875" style="38" customWidth="1"/>
    <col min="10720" max="10721" width="1" style="38" customWidth="1"/>
    <col min="10722" max="10751" width="0" style="38" hidden="1" customWidth="1"/>
    <col min="10752" max="10753" width="1" style="38" customWidth="1"/>
    <col min="10754" max="10754" width="16.140625" style="38" customWidth="1"/>
    <col min="10755" max="10758" width="1" style="38" customWidth="1"/>
    <col min="10759" max="10759" width="15.140625" style="38" customWidth="1"/>
    <col min="10760" max="10761" width="1" style="38" customWidth="1"/>
    <col min="10762" max="10786" width="0" style="38" hidden="1" customWidth="1"/>
    <col min="10787" max="10788" width="1" style="38" customWidth="1"/>
    <col min="10789" max="10789" width="17.85546875" style="38" customWidth="1"/>
    <col min="10790" max="10791" width="1" style="38" customWidth="1"/>
    <col min="10792" max="10821" width="0" style="38" hidden="1" customWidth="1"/>
    <col min="10822" max="10823" width="1" style="38" customWidth="1"/>
    <col min="10824" max="10824" width="15.7109375" style="38" customWidth="1"/>
    <col min="10825" max="10826" width="1" style="38" customWidth="1"/>
    <col min="10827" max="10827" width="0.7109375" style="38" customWidth="1"/>
    <col min="10828" max="10828" width="3.28515625" style="38" customWidth="1"/>
    <col min="10829" max="10829" width="10" style="38"/>
    <col min="10830" max="10830" width="10.42578125" style="38" bestFit="1" customWidth="1"/>
    <col min="10831" max="10938" width="10" style="38"/>
    <col min="10939" max="10939" width="1.85546875" style="38" customWidth="1"/>
    <col min="10940" max="10940" width="1" style="38" customWidth="1"/>
    <col min="10941" max="10941" width="0.85546875" style="38" customWidth="1"/>
    <col min="10942" max="10942" width="58.28515625" style="38" customWidth="1"/>
    <col min="10943" max="10944" width="1" style="38" customWidth="1"/>
    <col min="10945" max="10945" width="16.85546875" style="38" customWidth="1"/>
    <col min="10946" max="10947" width="1" style="38" customWidth="1"/>
    <col min="10948" max="10972" width="0" style="38" hidden="1" customWidth="1"/>
    <col min="10973" max="10974" width="1" style="38" customWidth="1"/>
    <col min="10975" max="10975" width="17.85546875" style="38" customWidth="1"/>
    <col min="10976" max="10977" width="1" style="38" customWidth="1"/>
    <col min="10978" max="11007" width="0" style="38" hidden="1" customWidth="1"/>
    <col min="11008" max="11009" width="1" style="38" customWidth="1"/>
    <col min="11010" max="11010" width="16.140625" style="38" customWidth="1"/>
    <col min="11011" max="11014" width="1" style="38" customWidth="1"/>
    <col min="11015" max="11015" width="15.140625" style="38" customWidth="1"/>
    <col min="11016" max="11017" width="1" style="38" customWidth="1"/>
    <col min="11018" max="11042" width="0" style="38" hidden="1" customWidth="1"/>
    <col min="11043" max="11044" width="1" style="38" customWidth="1"/>
    <col min="11045" max="11045" width="17.85546875" style="38" customWidth="1"/>
    <col min="11046" max="11047" width="1" style="38" customWidth="1"/>
    <col min="11048" max="11077" width="0" style="38" hidden="1" customWidth="1"/>
    <col min="11078" max="11079" width="1" style="38" customWidth="1"/>
    <col min="11080" max="11080" width="15.7109375" style="38" customWidth="1"/>
    <col min="11081" max="11082" width="1" style="38" customWidth="1"/>
    <col min="11083" max="11083" width="0.7109375" style="38" customWidth="1"/>
    <col min="11084" max="11084" width="3.28515625" style="38" customWidth="1"/>
    <col min="11085" max="11085" width="10" style="38"/>
    <col min="11086" max="11086" width="10.42578125" style="38" bestFit="1" customWidth="1"/>
    <col min="11087" max="11194" width="10" style="38"/>
    <col min="11195" max="11195" width="1.85546875" style="38" customWidth="1"/>
    <col min="11196" max="11196" width="1" style="38" customWidth="1"/>
    <col min="11197" max="11197" width="0.85546875" style="38" customWidth="1"/>
    <col min="11198" max="11198" width="58.28515625" style="38" customWidth="1"/>
    <col min="11199" max="11200" width="1" style="38" customWidth="1"/>
    <col min="11201" max="11201" width="16.85546875" style="38" customWidth="1"/>
    <col min="11202" max="11203" width="1" style="38" customWidth="1"/>
    <col min="11204" max="11228" width="0" style="38" hidden="1" customWidth="1"/>
    <col min="11229" max="11230" width="1" style="38" customWidth="1"/>
    <col min="11231" max="11231" width="17.85546875" style="38" customWidth="1"/>
    <col min="11232" max="11233" width="1" style="38" customWidth="1"/>
    <col min="11234" max="11263" width="0" style="38" hidden="1" customWidth="1"/>
    <col min="11264" max="11265" width="1" style="38" customWidth="1"/>
    <col min="11266" max="11266" width="16.140625" style="38" customWidth="1"/>
    <col min="11267" max="11270" width="1" style="38" customWidth="1"/>
    <col min="11271" max="11271" width="15.140625" style="38" customWidth="1"/>
    <col min="11272" max="11273" width="1" style="38" customWidth="1"/>
    <col min="11274" max="11298" width="0" style="38" hidden="1" customWidth="1"/>
    <col min="11299" max="11300" width="1" style="38" customWidth="1"/>
    <col min="11301" max="11301" width="17.85546875" style="38" customWidth="1"/>
    <col min="11302" max="11303" width="1" style="38" customWidth="1"/>
    <col min="11304" max="11333" width="0" style="38" hidden="1" customWidth="1"/>
    <col min="11334" max="11335" width="1" style="38" customWidth="1"/>
    <col min="11336" max="11336" width="15.7109375" style="38" customWidth="1"/>
    <col min="11337" max="11338" width="1" style="38" customWidth="1"/>
    <col min="11339" max="11339" width="0.7109375" style="38" customWidth="1"/>
    <col min="11340" max="11340" width="3.28515625" style="38" customWidth="1"/>
    <col min="11341" max="11341" width="10" style="38"/>
    <col min="11342" max="11342" width="10.42578125" style="38" bestFit="1" customWidth="1"/>
    <col min="11343" max="11450" width="10" style="38"/>
    <col min="11451" max="11451" width="1.85546875" style="38" customWidth="1"/>
    <col min="11452" max="11452" width="1" style="38" customWidth="1"/>
    <col min="11453" max="11453" width="0.85546875" style="38" customWidth="1"/>
    <col min="11454" max="11454" width="58.28515625" style="38" customWidth="1"/>
    <col min="11455" max="11456" width="1" style="38" customWidth="1"/>
    <col min="11457" max="11457" width="16.85546875" style="38" customWidth="1"/>
    <col min="11458" max="11459" width="1" style="38" customWidth="1"/>
    <col min="11460" max="11484" width="0" style="38" hidden="1" customWidth="1"/>
    <col min="11485" max="11486" width="1" style="38" customWidth="1"/>
    <col min="11487" max="11487" width="17.85546875" style="38" customWidth="1"/>
    <col min="11488" max="11489" width="1" style="38" customWidth="1"/>
    <col min="11490" max="11519" width="0" style="38" hidden="1" customWidth="1"/>
    <col min="11520" max="11521" width="1" style="38" customWidth="1"/>
    <col min="11522" max="11522" width="16.140625" style="38" customWidth="1"/>
    <col min="11523" max="11526" width="1" style="38" customWidth="1"/>
    <col min="11527" max="11527" width="15.140625" style="38" customWidth="1"/>
    <col min="11528" max="11529" width="1" style="38" customWidth="1"/>
    <col min="11530" max="11554" width="0" style="38" hidden="1" customWidth="1"/>
    <col min="11555" max="11556" width="1" style="38" customWidth="1"/>
    <col min="11557" max="11557" width="17.85546875" style="38" customWidth="1"/>
    <col min="11558" max="11559" width="1" style="38" customWidth="1"/>
    <col min="11560" max="11589" width="0" style="38" hidden="1" customWidth="1"/>
    <col min="11590" max="11591" width="1" style="38" customWidth="1"/>
    <col min="11592" max="11592" width="15.7109375" style="38" customWidth="1"/>
    <col min="11593" max="11594" width="1" style="38" customWidth="1"/>
    <col min="11595" max="11595" width="0.7109375" style="38" customWidth="1"/>
    <col min="11596" max="11596" width="3.28515625" style="38" customWidth="1"/>
    <col min="11597" max="11597" width="10" style="38"/>
    <col min="11598" max="11598" width="10.42578125" style="38" bestFit="1" customWidth="1"/>
    <col min="11599" max="11706" width="10" style="38"/>
    <col min="11707" max="11707" width="1.85546875" style="38" customWidth="1"/>
    <col min="11708" max="11708" width="1" style="38" customWidth="1"/>
    <col min="11709" max="11709" width="0.85546875" style="38" customWidth="1"/>
    <col min="11710" max="11710" width="58.28515625" style="38" customWidth="1"/>
    <col min="11711" max="11712" width="1" style="38" customWidth="1"/>
    <col min="11713" max="11713" width="16.85546875" style="38" customWidth="1"/>
    <col min="11714" max="11715" width="1" style="38" customWidth="1"/>
    <col min="11716" max="11740" width="0" style="38" hidden="1" customWidth="1"/>
    <col min="11741" max="11742" width="1" style="38" customWidth="1"/>
    <col min="11743" max="11743" width="17.85546875" style="38" customWidth="1"/>
    <col min="11744" max="11745" width="1" style="38" customWidth="1"/>
    <col min="11746" max="11775" width="0" style="38" hidden="1" customWidth="1"/>
    <col min="11776" max="11777" width="1" style="38" customWidth="1"/>
    <col min="11778" max="11778" width="16.140625" style="38" customWidth="1"/>
    <col min="11779" max="11782" width="1" style="38" customWidth="1"/>
    <col min="11783" max="11783" width="15.140625" style="38" customWidth="1"/>
    <col min="11784" max="11785" width="1" style="38" customWidth="1"/>
    <col min="11786" max="11810" width="0" style="38" hidden="1" customWidth="1"/>
    <col min="11811" max="11812" width="1" style="38" customWidth="1"/>
    <col min="11813" max="11813" width="17.85546875" style="38" customWidth="1"/>
    <col min="11814" max="11815" width="1" style="38" customWidth="1"/>
    <col min="11816" max="11845" width="0" style="38" hidden="1" customWidth="1"/>
    <col min="11846" max="11847" width="1" style="38" customWidth="1"/>
    <col min="11848" max="11848" width="15.7109375" style="38" customWidth="1"/>
    <col min="11849" max="11850" width="1" style="38" customWidth="1"/>
    <col min="11851" max="11851" width="0.7109375" style="38" customWidth="1"/>
    <col min="11852" max="11852" width="3.28515625" style="38" customWidth="1"/>
    <col min="11853" max="11853" width="10" style="38"/>
    <col min="11854" max="11854" width="10.42578125" style="38" bestFit="1" customWidth="1"/>
    <col min="11855" max="11962" width="10" style="38"/>
    <col min="11963" max="11963" width="1.85546875" style="38" customWidth="1"/>
    <col min="11964" max="11964" width="1" style="38" customWidth="1"/>
    <col min="11965" max="11965" width="0.85546875" style="38" customWidth="1"/>
    <col min="11966" max="11966" width="58.28515625" style="38" customWidth="1"/>
    <col min="11967" max="11968" width="1" style="38" customWidth="1"/>
    <col min="11969" max="11969" width="16.85546875" style="38" customWidth="1"/>
    <col min="11970" max="11971" width="1" style="38" customWidth="1"/>
    <col min="11972" max="11996" width="0" style="38" hidden="1" customWidth="1"/>
    <col min="11997" max="11998" width="1" style="38" customWidth="1"/>
    <col min="11999" max="11999" width="17.85546875" style="38" customWidth="1"/>
    <col min="12000" max="12001" width="1" style="38" customWidth="1"/>
    <col min="12002" max="12031" width="0" style="38" hidden="1" customWidth="1"/>
    <col min="12032" max="12033" width="1" style="38" customWidth="1"/>
    <col min="12034" max="12034" width="16.140625" style="38" customWidth="1"/>
    <col min="12035" max="12038" width="1" style="38" customWidth="1"/>
    <col min="12039" max="12039" width="15.140625" style="38" customWidth="1"/>
    <col min="12040" max="12041" width="1" style="38" customWidth="1"/>
    <col min="12042" max="12066" width="0" style="38" hidden="1" customWidth="1"/>
    <col min="12067" max="12068" width="1" style="38" customWidth="1"/>
    <col min="12069" max="12069" width="17.85546875" style="38" customWidth="1"/>
    <col min="12070" max="12071" width="1" style="38" customWidth="1"/>
    <col min="12072" max="12101" width="0" style="38" hidden="1" customWidth="1"/>
    <col min="12102" max="12103" width="1" style="38" customWidth="1"/>
    <col min="12104" max="12104" width="15.7109375" style="38" customWidth="1"/>
    <col min="12105" max="12106" width="1" style="38" customWidth="1"/>
    <col min="12107" max="12107" width="0.7109375" style="38" customWidth="1"/>
    <col min="12108" max="12108" width="3.28515625" style="38" customWidth="1"/>
    <col min="12109" max="12109" width="10" style="38"/>
    <col min="12110" max="12110" width="10.42578125" style="38" bestFit="1" customWidth="1"/>
    <col min="12111" max="12218" width="10" style="38"/>
    <col min="12219" max="12219" width="1.85546875" style="38" customWidth="1"/>
    <col min="12220" max="12220" width="1" style="38" customWidth="1"/>
    <col min="12221" max="12221" width="0.85546875" style="38" customWidth="1"/>
    <col min="12222" max="12222" width="58.28515625" style="38" customWidth="1"/>
    <col min="12223" max="12224" width="1" style="38" customWidth="1"/>
    <col min="12225" max="12225" width="16.85546875" style="38" customWidth="1"/>
    <col min="12226" max="12227" width="1" style="38" customWidth="1"/>
    <col min="12228" max="12252" width="0" style="38" hidden="1" customWidth="1"/>
    <col min="12253" max="12254" width="1" style="38" customWidth="1"/>
    <col min="12255" max="12255" width="17.85546875" style="38" customWidth="1"/>
    <col min="12256" max="12257" width="1" style="38" customWidth="1"/>
    <col min="12258" max="12287" width="0" style="38" hidden="1" customWidth="1"/>
    <col min="12288" max="12289" width="1" style="38" customWidth="1"/>
    <col min="12290" max="12290" width="16.140625" style="38" customWidth="1"/>
    <col min="12291" max="12294" width="1" style="38" customWidth="1"/>
    <col min="12295" max="12295" width="15.140625" style="38" customWidth="1"/>
    <col min="12296" max="12297" width="1" style="38" customWidth="1"/>
    <col min="12298" max="12322" width="0" style="38" hidden="1" customWidth="1"/>
    <col min="12323" max="12324" width="1" style="38" customWidth="1"/>
    <col min="12325" max="12325" width="17.85546875" style="38" customWidth="1"/>
    <col min="12326" max="12327" width="1" style="38" customWidth="1"/>
    <col min="12328" max="12357" width="0" style="38" hidden="1" customWidth="1"/>
    <col min="12358" max="12359" width="1" style="38" customWidth="1"/>
    <col min="12360" max="12360" width="15.7109375" style="38" customWidth="1"/>
    <col min="12361" max="12362" width="1" style="38" customWidth="1"/>
    <col min="12363" max="12363" width="0.7109375" style="38" customWidth="1"/>
    <col min="12364" max="12364" width="3.28515625" style="38" customWidth="1"/>
    <col min="12365" max="12365" width="10" style="38"/>
    <col min="12366" max="12366" width="10.42578125" style="38" bestFit="1" customWidth="1"/>
    <col min="12367" max="12474" width="10" style="38"/>
    <col min="12475" max="12475" width="1.85546875" style="38" customWidth="1"/>
    <col min="12476" max="12476" width="1" style="38" customWidth="1"/>
    <col min="12477" max="12477" width="0.85546875" style="38" customWidth="1"/>
    <col min="12478" max="12478" width="58.28515625" style="38" customWidth="1"/>
    <col min="12479" max="12480" width="1" style="38" customWidth="1"/>
    <col min="12481" max="12481" width="16.85546875" style="38" customWidth="1"/>
    <col min="12482" max="12483" width="1" style="38" customWidth="1"/>
    <col min="12484" max="12508" width="0" style="38" hidden="1" customWidth="1"/>
    <col min="12509" max="12510" width="1" style="38" customWidth="1"/>
    <col min="12511" max="12511" width="17.85546875" style="38" customWidth="1"/>
    <col min="12512" max="12513" width="1" style="38" customWidth="1"/>
    <col min="12514" max="12543" width="0" style="38" hidden="1" customWidth="1"/>
    <col min="12544" max="12545" width="1" style="38" customWidth="1"/>
    <col min="12546" max="12546" width="16.140625" style="38" customWidth="1"/>
    <col min="12547" max="12550" width="1" style="38" customWidth="1"/>
    <col min="12551" max="12551" width="15.140625" style="38" customWidth="1"/>
    <col min="12552" max="12553" width="1" style="38" customWidth="1"/>
    <col min="12554" max="12578" width="0" style="38" hidden="1" customWidth="1"/>
    <col min="12579" max="12580" width="1" style="38" customWidth="1"/>
    <col min="12581" max="12581" width="17.85546875" style="38" customWidth="1"/>
    <col min="12582" max="12583" width="1" style="38" customWidth="1"/>
    <col min="12584" max="12613" width="0" style="38" hidden="1" customWidth="1"/>
    <col min="12614" max="12615" width="1" style="38" customWidth="1"/>
    <col min="12616" max="12616" width="15.7109375" style="38" customWidth="1"/>
    <col min="12617" max="12618" width="1" style="38" customWidth="1"/>
    <col min="12619" max="12619" width="0.7109375" style="38" customWidth="1"/>
    <col min="12620" max="12620" width="3.28515625" style="38" customWidth="1"/>
    <col min="12621" max="12621" width="10" style="38"/>
    <col min="12622" max="12622" width="10.42578125" style="38" bestFit="1" customWidth="1"/>
    <col min="12623" max="12730" width="10" style="38"/>
    <col min="12731" max="12731" width="1.85546875" style="38" customWidth="1"/>
    <col min="12732" max="12732" width="1" style="38" customWidth="1"/>
    <col min="12733" max="12733" width="0.85546875" style="38" customWidth="1"/>
    <col min="12734" max="12734" width="58.28515625" style="38" customWidth="1"/>
    <col min="12735" max="12736" width="1" style="38" customWidth="1"/>
    <col min="12737" max="12737" width="16.85546875" style="38" customWidth="1"/>
    <col min="12738" max="12739" width="1" style="38" customWidth="1"/>
    <col min="12740" max="12764" width="0" style="38" hidden="1" customWidth="1"/>
    <col min="12765" max="12766" width="1" style="38" customWidth="1"/>
    <col min="12767" max="12767" width="17.85546875" style="38" customWidth="1"/>
    <col min="12768" max="12769" width="1" style="38" customWidth="1"/>
    <col min="12770" max="12799" width="0" style="38" hidden="1" customWidth="1"/>
    <col min="12800" max="12801" width="1" style="38" customWidth="1"/>
    <col min="12802" max="12802" width="16.140625" style="38" customWidth="1"/>
    <col min="12803" max="12806" width="1" style="38" customWidth="1"/>
    <col min="12807" max="12807" width="15.140625" style="38" customWidth="1"/>
    <col min="12808" max="12809" width="1" style="38" customWidth="1"/>
    <col min="12810" max="12834" width="0" style="38" hidden="1" customWidth="1"/>
    <col min="12835" max="12836" width="1" style="38" customWidth="1"/>
    <col min="12837" max="12837" width="17.85546875" style="38" customWidth="1"/>
    <col min="12838" max="12839" width="1" style="38" customWidth="1"/>
    <col min="12840" max="12869" width="0" style="38" hidden="1" customWidth="1"/>
    <col min="12870" max="12871" width="1" style="38" customWidth="1"/>
    <col min="12872" max="12872" width="15.7109375" style="38" customWidth="1"/>
    <col min="12873" max="12874" width="1" style="38" customWidth="1"/>
    <col min="12875" max="12875" width="0.7109375" style="38" customWidth="1"/>
    <col min="12876" max="12876" width="3.28515625" style="38" customWidth="1"/>
    <col min="12877" max="12877" width="10" style="38"/>
    <col min="12878" max="12878" width="10.42578125" style="38" bestFit="1" customWidth="1"/>
    <col min="12879" max="12986" width="10" style="38"/>
    <col min="12987" max="12987" width="1.85546875" style="38" customWidth="1"/>
    <col min="12988" max="12988" width="1" style="38" customWidth="1"/>
    <col min="12989" max="12989" width="0.85546875" style="38" customWidth="1"/>
    <col min="12990" max="12990" width="58.28515625" style="38" customWidth="1"/>
    <col min="12991" max="12992" width="1" style="38" customWidth="1"/>
    <col min="12993" max="12993" width="16.85546875" style="38" customWidth="1"/>
    <col min="12994" max="12995" width="1" style="38" customWidth="1"/>
    <col min="12996" max="13020" width="0" style="38" hidden="1" customWidth="1"/>
    <col min="13021" max="13022" width="1" style="38" customWidth="1"/>
    <col min="13023" max="13023" width="17.85546875" style="38" customWidth="1"/>
    <col min="13024" max="13025" width="1" style="38" customWidth="1"/>
    <col min="13026" max="13055" width="0" style="38" hidden="1" customWidth="1"/>
    <col min="13056" max="13057" width="1" style="38" customWidth="1"/>
    <col min="13058" max="13058" width="16.140625" style="38" customWidth="1"/>
    <col min="13059" max="13062" width="1" style="38" customWidth="1"/>
    <col min="13063" max="13063" width="15.140625" style="38" customWidth="1"/>
    <col min="13064" max="13065" width="1" style="38" customWidth="1"/>
    <col min="13066" max="13090" width="0" style="38" hidden="1" customWidth="1"/>
    <col min="13091" max="13092" width="1" style="38" customWidth="1"/>
    <col min="13093" max="13093" width="17.85546875" style="38" customWidth="1"/>
    <col min="13094" max="13095" width="1" style="38" customWidth="1"/>
    <col min="13096" max="13125" width="0" style="38" hidden="1" customWidth="1"/>
    <col min="13126" max="13127" width="1" style="38" customWidth="1"/>
    <col min="13128" max="13128" width="15.7109375" style="38" customWidth="1"/>
    <col min="13129" max="13130" width="1" style="38" customWidth="1"/>
    <col min="13131" max="13131" width="0.7109375" style="38" customWidth="1"/>
    <col min="13132" max="13132" width="3.28515625" style="38" customWidth="1"/>
    <col min="13133" max="13133" width="10" style="38"/>
    <col min="13134" max="13134" width="10.42578125" style="38" bestFit="1" customWidth="1"/>
    <col min="13135" max="13242" width="10" style="38"/>
    <col min="13243" max="13243" width="1.85546875" style="38" customWidth="1"/>
    <col min="13244" max="13244" width="1" style="38" customWidth="1"/>
    <col min="13245" max="13245" width="0.85546875" style="38" customWidth="1"/>
    <col min="13246" max="13246" width="58.28515625" style="38" customWidth="1"/>
    <col min="13247" max="13248" width="1" style="38" customWidth="1"/>
    <col min="13249" max="13249" width="16.85546875" style="38" customWidth="1"/>
    <col min="13250" max="13251" width="1" style="38" customWidth="1"/>
    <col min="13252" max="13276" width="0" style="38" hidden="1" customWidth="1"/>
    <col min="13277" max="13278" width="1" style="38" customWidth="1"/>
    <col min="13279" max="13279" width="17.85546875" style="38" customWidth="1"/>
    <col min="13280" max="13281" width="1" style="38" customWidth="1"/>
    <col min="13282" max="13311" width="0" style="38" hidden="1" customWidth="1"/>
    <col min="13312" max="13313" width="1" style="38" customWidth="1"/>
    <col min="13314" max="13314" width="16.140625" style="38" customWidth="1"/>
    <col min="13315" max="13318" width="1" style="38" customWidth="1"/>
    <col min="13319" max="13319" width="15.140625" style="38" customWidth="1"/>
    <col min="13320" max="13321" width="1" style="38" customWidth="1"/>
    <col min="13322" max="13346" width="0" style="38" hidden="1" customWidth="1"/>
    <col min="13347" max="13348" width="1" style="38" customWidth="1"/>
    <col min="13349" max="13349" width="17.85546875" style="38" customWidth="1"/>
    <col min="13350" max="13351" width="1" style="38" customWidth="1"/>
    <col min="13352" max="13381" width="0" style="38" hidden="1" customWidth="1"/>
    <col min="13382" max="13383" width="1" style="38" customWidth="1"/>
    <col min="13384" max="13384" width="15.7109375" style="38" customWidth="1"/>
    <col min="13385" max="13386" width="1" style="38" customWidth="1"/>
    <col min="13387" max="13387" width="0.7109375" style="38" customWidth="1"/>
    <col min="13388" max="13388" width="3.28515625" style="38" customWidth="1"/>
    <col min="13389" max="13389" width="10" style="38"/>
    <col min="13390" max="13390" width="10.42578125" style="38" bestFit="1" customWidth="1"/>
    <col min="13391" max="13498" width="10" style="38"/>
    <col min="13499" max="13499" width="1.85546875" style="38" customWidth="1"/>
    <col min="13500" max="13500" width="1" style="38" customWidth="1"/>
    <col min="13501" max="13501" width="0.85546875" style="38" customWidth="1"/>
    <col min="13502" max="13502" width="58.28515625" style="38" customWidth="1"/>
    <col min="13503" max="13504" width="1" style="38" customWidth="1"/>
    <col min="13505" max="13505" width="16.85546875" style="38" customWidth="1"/>
    <col min="13506" max="13507" width="1" style="38" customWidth="1"/>
    <col min="13508" max="13532" width="0" style="38" hidden="1" customWidth="1"/>
    <col min="13533" max="13534" width="1" style="38" customWidth="1"/>
    <col min="13535" max="13535" width="17.85546875" style="38" customWidth="1"/>
    <col min="13536" max="13537" width="1" style="38" customWidth="1"/>
    <col min="13538" max="13567" width="0" style="38" hidden="1" customWidth="1"/>
    <col min="13568" max="13569" width="1" style="38" customWidth="1"/>
    <col min="13570" max="13570" width="16.140625" style="38" customWidth="1"/>
    <col min="13571" max="13574" width="1" style="38" customWidth="1"/>
    <col min="13575" max="13575" width="15.140625" style="38" customWidth="1"/>
    <col min="13576" max="13577" width="1" style="38" customWidth="1"/>
    <col min="13578" max="13602" width="0" style="38" hidden="1" customWidth="1"/>
    <col min="13603" max="13604" width="1" style="38" customWidth="1"/>
    <col min="13605" max="13605" width="17.85546875" style="38" customWidth="1"/>
    <col min="13606" max="13607" width="1" style="38" customWidth="1"/>
    <col min="13608" max="13637" width="0" style="38" hidden="1" customWidth="1"/>
    <col min="13638" max="13639" width="1" style="38" customWidth="1"/>
    <col min="13640" max="13640" width="15.7109375" style="38" customWidth="1"/>
    <col min="13641" max="13642" width="1" style="38" customWidth="1"/>
    <col min="13643" max="13643" width="0.7109375" style="38" customWidth="1"/>
    <col min="13644" max="13644" width="3.28515625" style="38" customWidth="1"/>
    <col min="13645" max="13645" width="10" style="38"/>
    <col min="13646" max="13646" width="10.42578125" style="38" bestFit="1" customWidth="1"/>
    <col min="13647" max="13754" width="10" style="38"/>
    <col min="13755" max="13755" width="1.85546875" style="38" customWidth="1"/>
    <col min="13756" max="13756" width="1" style="38" customWidth="1"/>
    <col min="13757" max="13757" width="0.85546875" style="38" customWidth="1"/>
    <col min="13758" max="13758" width="58.28515625" style="38" customWidth="1"/>
    <col min="13759" max="13760" width="1" style="38" customWidth="1"/>
    <col min="13761" max="13761" width="16.85546875" style="38" customWidth="1"/>
    <col min="13762" max="13763" width="1" style="38" customWidth="1"/>
    <col min="13764" max="13788" width="0" style="38" hidden="1" customWidth="1"/>
    <col min="13789" max="13790" width="1" style="38" customWidth="1"/>
    <col min="13791" max="13791" width="17.85546875" style="38" customWidth="1"/>
    <col min="13792" max="13793" width="1" style="38" customWidth="1"/>
    <col min="13794" max="13823" width="0" style="38" hidden="1" customWidth="1"/>
    <col min="13824" max="13825" width="1" style="38" customWidth="1"/>
    <col min="13826" max="13826" width="16.140625" style="38" customWidth="1"/>
    <col min="13827" max="13830" width="1" style="38" customWidth="1"/>
    <col min="13831" max="13831" width="15.140625" style="38" customWidth="1"/>
    <col min="13832" max="13833" width="1" style="38" customWidth="1"/>
    <col min="13834" max="13858" width="0" style="38" hidden="1" customWidth="1"/>
    <col min="13859" max="13860" width="1" style="38" customWidth="1"/>
    <col min="13861" max="13861" width="17.85546875" style="38" customWidth="1"/>
    <col min="13862" max="13863" width="1" style="38" customWidth="1"/>
    <col min="13864" max="13893" width="0" style="38" hidden="1" customWidth="1"/>
    <col min="13894" max="13895" width="1" style="38" customWidth="1"/>
    <col min="13896" max="13896" width="15.7109375" style="38" customWidth="1"/>
    <col min="13897" max="13898" width="1" style="38" customWidth="1"/>
    <col min="13899" max="13899" width="0.7109375" style="38" customWidth="1"/>
    <col min="13900" max="13900" width="3.28515625" style="38" customWidth="1"/>
    <col min="13901" max="13901" width="10" style="38"/>
    <col min="13902" max="13902" width="10.42578125" style="38" bestFit="1" customWidth="1"/>
    <col min="13903" max="14010" width="10" style="38"/>
    <col min="14011" max="14011" width="1.85546875" style="38" customWidth="1"/>
    <col min="14012" max="14012" width="1" style="38" customWidth="1"/>
    <col min="14013" max="14013" width="0.85546875" style="38" customWidth="1"/>
    <col min="14014" max="14014" width="58.28515625" style="38" customWidth="1"/>
    <col min="14015" max="14016" width="1" style="38" customWidth="1"/>
    <col min="14017" max="14017" width="16.85546875" style="38" customWidth="1"/>
    <col min="14018" max="14019" width="1" style="38" customWidth="1"/>
    <col min="14020" max="14044" width="0" style="38" hidden="1" customWidth="1"/>
    <col min="14045" max="14046" width="1" style="38" customWidth="1"/>
    <col min="14047" max="14047" width="17.85546875" style="38" customWidth="1"/>
    <col min="14048" max="14049" width="1" style="38" customWidth="1"/>
    <col min="14050" max="14079" width="0" style="38" hidden="1" customWidth="1"/>
    <col min="14080" max="14081" width="1" style="38" customWidth="1"/>
    <col min="14082" max="14082" width="16.140625" style="38" customWidth="1"/>
    <col min="14083" max="14086" width="1" style="38" customWidth="1"/>
    <col min="14087" max="14087" width="15.140625" style="38" customWidth="1"/>
    <col min="14088" max="14089" width="1" style="38" customWidth="1"/>
    <col min="14090" max="14114" width="0" style="38" hidden="1" customWidth="1"/>
    <col min="14115" max="14116" width="1" style="38" customWidth="1"/>
    <col min="14117" max="14117" width="17.85546875" style="38" customWidth="1"/>
    <col min="14118" max="14119" width="1" style="38" customWidth="1"/>
    <col min="14120" max="14149" width="0" style="38" hidden="1" customWidth="1"/>
    <col min="14150" max="14151" width="1" style="38" customWidth="1"/>
    <col min="14152" max="14152" width="15.7109375" style="38" customWidth="1"/>
    <col min="14153" max="14154" width="1" style="38" customWidth="1"/>
    <col min="14155" max="14155" width="0.7109375" style="38" customWidth="1"/>
    <col min="14156" max="14156" width="3.28515625" style="38" customWidth="1"/>
    <col min="14157" max="14157" width="10" style="38"/>
    <col min="14158" max="14158" width="10.42578125" style="38" bestFit="1" customWidth="1"/>
    <col min="14159" max="14266" width="10" style="38"/>
    <col min="14267" max="14267" width="1.85546875" style="38" customWidth="1"/>
    <col min="14268" max="14268" width="1" style="38" customWidth="1"/>
    <col min="14269" max="14269" width="0.85546875" style="38" customWidth="1"/>
    <col min="14270" max="14270" width="58.28515625" style="38" customWidth="1"/>
    <col min="14271" max="14272" width="1" style="38" customWidth="1"/>
    <col min="14273" max="14273" width="16.85546875" style="38" customWidth="1"/>
    <col min="14274" max="14275" width="1" style="38" customWidth="1"/>
    <col min="14276" max="14300" width="0" style="38" hidden="1" customWidth="1"/>
    <col min="14301" max="14302" width="1" style="38" customWidth="1"/>
    <col min="14303" max="14303" width="17.85546875" style="38" customWidth="1"/>
    <col min="14304" max="14305" width="1" style="38" customWidth="1"/>
    <col min="14306" max="14335" width="0" style="38" hidden="1" customWidth="1"/>
    <col min="14336" max="14337" width="1" style="38" customWidth="1"/>
    <col min="14338" max="14338" width="16.140625" style="38" customWidth="1"/>
    <col min="14339" max="14342" width="1" style="38" customWidth="1"/>
    <col min="14343" max="14343" width="15.140625" style="38" customWidth="1"/>
    <col min="14344" max="14345" width="1" style="38" customWidth="1"/>
    <col min="14346" max="14370" width="0" style="38" hidden="1" customWidth="1"/>
    <col min="14371" max="14372" width="1" style="38" customWidth="1"/>
    <col min="14373" max="14373" width="17.85546875" style="38" customWidth="1"/>
    <col min="14374" max="14375" width="1" style="38" customWidth="1"/>
    <col min="14376" max="14405" width="0" style="38" hidden="1" customWidth="1"/>
    <col min="14406" max="14407" width="1" style="38" customWidth="1"/>
    <col min="14408" max="14408" width="15.7109375" style="38" customWidth="1"/>
    <col min="14409" max="14410" width="1" style="38" customWidth="1"/>
    <col min="14411" max="14411" width="0.7109375" style="38" customWidth="1"/>
    <col min="14412" max="14412" width="3.28515625" style="38" customWidth="1"/>
    <col min="14413" max="14413" width="10" style="38"/>
    <col min="14414" max="14414" width="10.42578125" style="38" bestFit="1" customWidth="1"/>
    <col min="14415" max="14522" width="10" style="38"/>
    <col min="14523" max="14523" width="1.85546875" style="38" customWidth="1"/>
    <col min="14524" max="14524" width="1" style="38" customWidth="1"/>
    <col min="14525" max="14525" width="0.85546875" style="38" customWidth="1"/>
    <col min="14526" max="14526" width="58.28515625" style="38" customWidth="1"/>
    <col min="14527" max="14528" width="1" style="38" customWidth="1"/>
    <col min="14529" max="14529" width="16.85546875" style="38" customWidth="1"/>
    <col min="14530" max="14531" width="1" style="38" customWidth="1"/>
    <col min="14532" max="14556" width="0" style="38" hidden="1" customWidth="1"/>
    <col min="14557" max="14558" width="1" style="38" customWidth="1"/>
    <col min="14559" max="14559" width="17.85546875" style="38" customWidth="1"/>
    <col min="14560" max="14561" width="1" style="38" customWidth="1"/>
    <col min="14562" max="14591" width="0" style="38" hidden="1" customWidth="1"/>
    <col min="14592" max="14593" width="1" style="38" customWidth="1"/>
    <col min="14594" max="14594" width="16.140625" style="38" customWidth="1"/>
    <col min="14595" max="14598" width="1" style="38" customWidth="1"/>
    <col min="14599" max="14599" width="15.140625" style="38" customWidth="1"/>
    <col min="14600" max="14601" width="1" style="38" customWidth="1"/>
    <col min="14602" max="14626" width="0" style="38" hidden="1" customWidth="1"/>
    <col min="14627" max="14628" width="1" style="38" customWidth="1"/>
    <col min="14629" max="14629" width="17.85546875" style="38" customWidth="1"/>
    <col min="14630" max="14631" width="1" style="38" customWidth="1"/>
    <col min="14632" max="14661" width="0" style="38" hidden="1" customWidth="1"/>
    <col min="14662" max="14663" width="1" style="38" customWidth="1"/>
    <col min="14664" max="14664" width="15.7109375" style="38" customWidth="1"/>
    <col min="14665" max="14666" width="1" style="38" customWidth="1"/>
    <col min="14667" max="14667" width="0.7109375" style="38" customWidth="1"/>
    <col min="14668" max="14668" width="3.28515625" style="38" customWidth="1"/>
    <col min="14669" max="14669" width="10" style="38"/>
    <col min="14670" max="14670" width="10.42578125" style="38" bestFit="1" customWidth="1"/>
    <col min="14671" max="14778" width="10" style="38"/>
    <col min="14779" max="14779" width="1.85546875" style="38" customWidth="1"/>
    <col min="14780" max="14780" width="1" style="38" customWidth="1"/>
    <col min="14781" max="14781" width="0.85546875" style="38" customWidth="1"/>
    <col min="14782" max="14782" width="58.28515625" style="38" customWidth="1"/>
    <col min="14783" max="14784" width="1" style="38" customWidth="1"/>
    <col min="14785" max="14785" width="16.85546875" style="38" customWidth="1"/>
    <col min="14786" max="14787" width="1" style="38" customWidth="1"/>
    <col min="14788" max="14812" width="0" style="38" hidden="1" customWidth="1"/>
    <col min="14813" max="14814" width="1" style="38" customWidth="1"/>
    <col min="14815" max="14815" width="17.85546875" style="38" customWidth="1"/>
    <col min="14816" max="14817" width="1" style="38" customWidth="1"/>
    <col min="14818" max="14847" width="0" style="38" hidden="1" customWidth="1"/>
    <col min="14848" max="14849" width="1" style="38" customWidth="1"/>
    <col min="14850" max="14850" width="16.140625" style="38" customWidth="1"/>
    <col min="14851" max="14854" width="1" style="38" customWidth="1"/>
    <col min="14855" max="14855" width="15.140625" style="38" customWidth="1"/>
    <col min="14856" max="14857" width="1" style="38" customWidth="1"/>
    <col min="14858" max="14882" width="0" style="38" hidden="1" customWidth="1"/>
    <col min="14883" max="14884" width="1" style="38" customWidth="1"/>
    <col min="14885" max="14885" width="17.85546875" style="38" customWidth="1"/>
    <col min="14886" max="14887" width="1" style="38" customWidth="1"/>
    <col min="14888" max="14917" width="0" style="38" hidden="1" customWidth="1"/>
    <col min="14918" max="14919" width="1" style="38" customWidth="1"/>
    <col min="14920" max="14920" width="15.7109375" style="38" customWidth="1"/>
    <col min="14921" max="14922" width="1" style="38" customWidth="1"/>
    <col min="14923" max="14923" width="0.7109375" style="38" customWidth="1"/>
    <col min="14924" max="14924" width="3.28515625" style="38" customWidth="1"/>
    <col min="14925" max="14925" width="10" style="38"/>
    <col min="14926" max="14926" width="10.42578125" style="38" bestFit="1" customWidth="1"/>
    <col min="14927" max="15034" width="10" style="38"/>
    <col min="15035" max="15035" width="1.85546875" style="38" customWidth="1"/>
    <col min="15036" max="15036" width="1" style="38" customWidth="1"/>
    <col min="15037" max="15037" width="0.85546875" style="38" customWidth="1"/>
    <col min="15038" max="15038" width="58.28515625" style="38" customWidth="1"/>
    <col min="15039" max="15040" width="1" style="38" customWidth="1"/>
    <col min="15041" max="15041" width="16.85546875" style="38" customWidth="1"/>
    <col min="15042" max="15043" width="1" style="38" customWidth="1"/>
    <col min="15044" max="15068" width="0" style="38" hidden="1" customWidth="1"/>
    <col min="15069" max="15070" width="1" style="38" customWidth="1"/>
    <col min="15071" max="15071" width="17.85546875" style="38" customWidth="1"/>
    <col min="15072" max="15073" width="1" style="38" customWidth="1"/>
    <col min="15074" max="15103" width="0" style="38" hidden="1" customWidth="1"/>
    <col min="15104" max="15105" width="1" style="38" customWidth="1"/>
    <col min="15106" max="15106" width="16.140625" style="38" customWidth="1"/>
    <col min="15107" max="15110" width="1" style="38" customWidth="1"/>
    <col min="15111" max="15111" width="15.140625" style="38" customWidth="1"/>
    <col min="15112" max="15113" width="1" style="38" customWidth="1"/>
    <col min="15114" max="15138" width="0" style="38" hidden="1" customWidth="1"/>
    <col min="15139" max="15140" width="1" style="38" customWidth="1"/>
    <col min="15141" max="15141" width="17.85546875" style="38" customWidth="1"/>
    <col min="15142" max="15143" width="1" style="38" customWidth="1"/>
    <col min="15144" max="15173" width="0" style="38" hidden="1" customWidth="1"/>
    <col min="15174" max="15175" width="1" style="38" customWidth="1"/>
    <col min="15176" max="15176" width="15.7109375" style="38" customWidth="1"/>
    <col min="15177" max="15178" width="1" style="38" customWidth="1"/>
    <col min="15179" max="15179" width="0.7109375" style="38" customWidth="1"/>
    <col min="15180" max="15180" width="3.28515625" style="38" customWidth="1"/>
    <col min="15181" max="15181" width="10" style="38"/>
    <col min="15182" max="15182" width="10.42578125" style="38" bestFit="1" customWidth="1"/>
    <col min="15183" max="15290" width="10" style="38"/>
    <col min="15291" max="15291" width="1.85546875" style="38" customWidth="1"/>
    <col min="15292" max="15292" width="1" style="38" customWidth="1"/>
    <col min="15293" max="15293" width="0.85546875" style="38" customWidth="1"/>
    <col min="15294" max="15294" width="58.28515625" style="38" customWidth="1"/>
    <col min="15295" max="15296" width="1" style="38" customWidth="1"/>
    <col min="15297" max="15297" width="16.85546875" style="38" customWidth="1"/>
    <col min="15298" max="15299" width="1" style="38" customWidth="1"/>
    <col min="15300" max="15324" width="0" style="38" hidden="1" customWidth="1"/>
    <col min="15325" max="15326" width="1" style="38" customWidth="1"/>
    <col min="15327" max="15327" width="17.85546875" style="38" customWidth="1"/>
    <col min="15328" max="15329" width="1" style="38" customWidth="1"/>
    <col min="15330" max="15359" width="0" style="38" hidden="1" customWidth="1"/>
    <col min="15360" max="15361" width="1" style="38" customWidth="1"/>
    <col min="15362" max="15362" width="16.140625" style="38" customWidth="1"/>
    <col min="15363" max="15366" width="1" style="38" customWidth="1"/>
    <col min="15367" max="15367" width="15.140625" style="38" customWidth="1"/>
    <col min="15368" max="15369" width="1" style="38" customWidth="1"/>
    <col min="15370" max="15394" width="0" style="38" hidden="1" customWidth="1"/>
    <col min="15395" max="15396" width="1" style="38" customWidth="1"/>
    <col min="15397" max="15397" width="17.85546875" style="38" customWidth="1"/>
    <col min="15398" max="15399" width="1" style="38" customWidth="1"/>
    <col min="15400" max="15429" width="0" style="38" hidden="1" customWidth="1"/>
    <col min="15430" max="15431" width="1" style="38" customWidth="1"/>
    <col min="15432" max="15432" width="15.7109375" style="38" customWidth="1"/>
    <col min="15433" max="15434" width="1" style="38" customWidth="1"/>
    <col min="15435" max="15435" width="0.7109375" style="38" customWidth="1"/>
    <col min="15436" max="15436" width="3.28515625" style="38" customWidth="1"/>
    <col min="15437" max="15437" width="10" style="38"/>
    <col min="15438" max="15438" width="10.42578125" style="38" bestFit="1" customWidth="1"/>
    <col min="15439" max="15546" width="10" style="38"/>
    <col min="15547" max="15547" width="1.85546875" style="38" customWidth="1"/>
    <col min="15548" max="15548" width="1" style="38" customWidth="1"/>
    <col min="15549" max="15549" width="0.85546875" style="38" customWidth="1"/>
    <col min="15550" max="15550" width="58.28515625" style="38" customWidth="1"/>
    <col min="15551" max="15552" width="1" style="38" customWidth="1"/>
    <col min="15553" max="15553" width="16.85546875" style="38" customWidth="1"/>
    <col min="15554" max="15555" width="1" style="38" customWidth="1"/>
    <col min="15556" max="15580" width="0" style="38" hidden="1" customWidth="1"/>
    <col min="15581" max="15582" width="1" style="38" customWidth="1"/>
    <col min="15583" max="15583" width="17.85546875" style="38" customWidth="1"/>
    <col min="15584" max="15585" width="1" style="38" customWidth="1"/>
    <col min="15586" max="15615" width="0" style="38" hidden="1" customWidth="1"/>
    <col min="15616" max="15617" width="1" style="38" customWidth="1"/>
    <col min="15618" max="15618" width="16.140625" style="38" customWidth="1"/>
    <col min="15619" max="15622" width="1" style="38" customWidth="1"/>
    <col min="15623" max="15623" width="15.140625" style="38" customWidth="1"/>
    <col min="15624" max="15625" width="1" style="38" customWidth="1"/>
    <col min="15626" max="15650" width="0" style="38" hidden="1" customWidth="1"/>
    <col min="15651" max="15652" width="1" style="38" customWidth="1"/>
    <col min="15653" max="15653" width="17.85546875" style="38" customWidth="1"/>
    <col min="15654" max="15655" width="1" style="38" customWidth="1"/>
    <col min="15656" max="15685" width="0" style="38" hidden="1" customWidth="1"/>
    <col min="15686" max="15687" width="1" style="38" customWidth="1"/>
    <col min="15688" max="15688" width="15.7109375" style="38" customWidth="1"/>
    <col min="15689" max="15690" width="1" style="38" customWidth="1"/>
    <col min="15691" max="15691" width="0.7109375" style="38" customWidth="1"/>
    <col min="15692" max="15692" width="3.28515625" style="38" customWidth="1"/>
    <col min="15693" max="15693" width="10" style="38"/>
    <col min="15694" max="15694" width="10.42578125" style="38" bestFit="1" customWidth="1"/>
    <col min="15695" max="15802" width="10" style="38"/>
    <col min="15803" max="15803" width="1.85546875" style="38" customWidth="1"/>
    <col min="15804" max="15804" width="1" style="38" customWidth="1"/>
    <col min="15805" max="15805" width="0.85546875" style="38" customWidth="1"/>
    <col min="15806" max="15806" width="58.28515625" style="38" customWidth="1"/>
    <col min="15807" max="15808" width="1" style="38" customWidth="1"/>
    <col min="15809" max="15809" width="16.85546875" style="38" customWidth="1"/>
    <col min="15810" max="15811" width="1" style="38" customWidth="1"/>
    <col min="15812" max="15836" width="0" style="38" hidden="1" customWidth="1"/>
    <col min="15837" max="15838" width="1" style="38" customWidth="1"/>
    <col min="15839" max="15839" width="17.85546875" style="38" customWidth="1"/>
    <col min="15840" max="15841" width="1" style="38" customWidth="1"/>
    <col min="15842" max="15871" width="0" style="38" hidden="1" customWidth="1"/>
    <col min="15872" max="15873" width="1" style="38" customWidth="1"/>
    <col min="15874" max="15874" width="16.140625" style="38" customWidth="1"/>
    <col min="15875" max="15878" width="1" style="38" customWidth="1"/>
    <col min="15879" max="15879" width="15.140625" style="38" customWidth="1"/>
    <col min="15880" max="15881" width="1" style="38" customWidth="1"/>
    <col min="15882" max="15906" width="0" style="38" hidden="1" customWidth="1"/>
    <col min="15907" max="15908" width="1" style="38" customWidth="1"/>
    <col min="15909" max="15909" width="17.85546875" style="38" customWidth="1"/>
    <col min="15910" max="15911" width="1" style="38" customWidth="1"/>
    <col min="15912" max="15941" width="0" style="38" hidden="1" customWidth="1"/>
    <col min="15942" max="15943" width="1" style="38" customWidth="1"/>
    <col min="15944" max="15944" width="15.7109375" style="38" customWidth="1"/>
    <col min="15945" max="15946" width="1" style="38" customWidth="1"/>
    <col min="15947" max="15947" width="0.7109375" style="38" customWidth="1"/>
    <col min="15948" max="15948" width="3.28515625" style="38" customWidth="1"/>
    <col min="15949" max="15949" width="10" style="38"/>
    <col min="15950" max="15950" width="10.42578125" style="38" bestFit="1" customWidth="1"/>
    <col min="15951" max="16058" width="10" style="38"/>
    <col min="16059" max="16059" width="1.85546875" style="38" customWidth="1"/>
    <col min="16060" max="16060" width="1" style="38" customWidth="1"/>
    <col min="16061" max="16061" width="0.85546875" style="38" customWidth="1"/>
    <col min="16062" max="16062" width="58.28515625" style="38" customWidth="1"/>
    <col min="16063" max="16064" width="1" style="38" customWidth="1"/>
    <col min="16065" max="16065" width="16.85546875" style="38" customWidth="1"/>
    <col min="16066" max="16067" width="1" style="38" customWidth="1"/>
    <col min="16068" max="16092" width="0" style="38" hidden="1" customWidth="1"/>
    <col min="16093" max="16094" width="1" style="38" customWidth="1"/>
    <col min="16095" max="16095" width="17.85546875" style="38" customWidth="1"/>
    <col min="16096" max="16097" width="1" style="38" customWidth="1"/>
    <col min="16098" max="16127" width="0" style="38" hidden="1" customWidth="1"/>
    <col min="16128" max="16129" width="1" style="38" customWidth="1"/>
    <col min="16130" max="16130" width="16.140625" style="38" customWidth="1"/>
    <col min="16131" max="16134" width="1" style="38" customWidth="1"/>
    <col min="16135" max="16135" width="15.140625" style="38" customWidth="1"/>
    <col min="16136" max="16137" width="1" style="38" customWidth="1"/>
    <col min="16138" max="16162" width="0" style="38" hidden="1" customWidth="1"/>
    <col min="16163" max="16164" width="1" style="38" customWidth="1"/>
    <col min="16165" max="16165" width="17.85546875" style="38" customWidth="1"/>
    <col min="16166" max="16167" width="1" style="38" customWidth="1"/>
    <col min="16168" max="16197" width="0" style="38" hidden="1" customWidth="1"/>
    <col min="16198" max="16199" width="1" style="38" customWidth="1"/>
    <col min="16200" max="16200" width="15.7109375" style="38" customWidth="1"/>
    <col min="16201" max="16202" width="1" style="38" customWidth="1"/>
    <col min="16203" max="16203" width="0.7109375" style="38" customWidth="1"/>
    <col min="16204" max="16204" width="3.28515625" style="38" customWidth="1"/>
    <col min="16205" max="16205" width="10" style="38"/>
    <col min="16206" max="16206" width="10.42578125" style="38" bestFit="1" customWidth="1"/>
    <col min="16207" max="16384" width="10" style="38"/>
  </cols>
  <sheetData>
    <row r="1" spans="1:75" x14ac:dyDescent="0.2">
      <c r="B1" s="377"/>
      <c r="C1" s="377"/>
      <c r="D1" s="377"/>
      <c r="E1" s="377"/>
      <c r="F1" s="377"/>
      <c r="G1" s="377"/>
      <c r="H1" s="377"/>
      <c r="I1" s="377"/>
      <c r="J1" s="377"/>
      <c r="K1" s="377"/>
      <c r="L1" s="377"/>
      <c r="M1" s="377">
        <f>1770000000+11234076861+1105000000</f>
        <v>14109076861</v>
      </c>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row>
    <row r="2" spans="1:75" ht="6" customHeight="1" x14ac:dyDescent="0.2">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row>
    <row r="3" spans="1:75" x14ac:dyDescent="0.2">
      <c r="A3" s="377"/>
      <c r="B3" s="377"/>
      <c r="BW3" s="377"/>
    </row>
    <row r="4" spans="1:75" x14ac:dyDescent="0.2">
      <c r="A4" s="377"/>
      <c r="B4" s="377"/>
      <c r="D4" s="410"/>
      <c r="E4" s="410"/>
      <c r="F4" s="410"/>
      <c r="BW4" s="377"/>
    </row>
    <row r="5" spans="1:75" x14ac:dyDescent="0.2">
      <c r="A5" s="377"/>
      <c r="B5" s="377"/>
      <c r="BW5" s="377"/>
    </row>
    <row r="6" spans="1:75" x14ac:dyDescent="0.2">
      <c r="A6" s="377"/>
      <c r="B6" s="377"/>
      <c r="BW6" s="377"/>
    </row>
    <row r="7" spans="1:75" ht="15.75" x14ac:dyDescent="0.25">
      <c r="A7" s="377"/>
      <c r="B7" s="377"/>
      <c r="C7" s="377"/>
      <c r="D7" s="447" t="s">
        <v>475</v>
      </c>
      <c r="E7" s="447"/>
      <c r="F7" s="447"/>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377"/>
    </row>
    <row r="8" spans="1:75" x14ac:dyDescent="0.2">
      <c r="A8" s="377"/>
      <c r="B8" s="377"/>
      <c r="C8" s="513"/>
      <c r="D8" s="455"/>
      <c r="E8" s="514"/>
      <c r="F8" s="515"/>
      <c r="G8" s="712" t="str">
        <f>[18]summary!H8</f>
        <v>2020/21</v>
      </c>
      <c r="H8" s="712"/>
      <c r="I8" s="712"/>
      <c r="J8" s="712"/>
      <c r="K8" s="712"/>
      <c r="L8" s="729"/>
      <c r="M8" s="729"/>
      <c r="N8" s="729"/>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29"/>
      <c r="AU8" s="729"/>
      <c r="AV8" s="729"/>
      <c r="AW8" s="729"/>
      <c r="AX8" s="729"/>
      <c r="AY8" s="729"/>
      <c r="AZ8" s="729"/>
      <c r="BA8" s="729"/>
      <c r="BB8" s="729"/>
      <c r="BC8" s="729"/>
      <c r="BD8" s="729"/>
      <c r="BE8" s="729"/>
      <c r="BF8" s="729"/>
      <c r="BG8" s="729"/>
      <c r="BH8" s="729"/>
      <c r="BI8" s="729"/>
      <c r="BJ8" s="729"/>
      <c r="BK8" s="729"/>
      <c r="BL8" s="729"/>
      <c r="BM8" s="729"/>
      <c r="BN8" s="729"/>
      <c r="BO8" s="729"/>
      <c r="BP8" s="729"/>
      <c r="BQ8" s="729"/>
      <c r="BR8" s="729"/>
      <c r="BS8" s="729"/>
      <c r="BT8" s="729"/>
      <c r="BU8" s="464"/>
      <c r="BV8" s="464"/>
      <c r="BW8" s="465"/>
    </row>
    <row r="9" spans="1:75" ht="18" customHeight="1" x14ac:dyDescent="0.2">
      <c r="A9" s="377"/>
      <c r="B9" s="377"/>
      <c r="D9" s="465"/>
      <c r="E9" s="417"/>
      <c r="F9" s="377"/>
      <c r="G9" s="137" t="str">
        <f>[18]domredemp!G9</f>
        <v>Revised</v>
      </c>
      <c r="H9" s="137"/>
      <c r="I9" s="137"/>
      <c r="J9" s="153"/>
      <c r="K9" s="137"/>
      <c r="L9" s="137" t="s">
        <v>6</v>
      </c>
      <c r="M9" s="137"/>
      <c r="N9" s="137"/>
      <c r="O9" s="153"/>
      <c r="P9" s="137"/>
      <c r="Q9" s="137" t="s">
        <v>7</v>
      </c>
      <c r="R9" s="137"/>
      <c r="S9" s="137"/>
      <c r="T9" s="153"/>
      <c r="U9" s="137"/>
      <c r="V9" s="137" t="s">
        <v>8</v>
      </c>
      <c r="W9" s="137"/>
      <c r="X9" s="137"/>
      <c r="Y9" s="153"/>
      <c r="Z9" s="137"/>
      <c r="AA9" s="137" t="s">
        <v>9</v>
      </c>
      <c r="AB9" s="137"/>
      <c r="AC9" s="137"/>
      <c r="AD9" s="153"/>
      <c r="AE9" s="137"/>
      <c r="AF9" s="137" t="s">
        <v>10</v>
      </c>
      <c r="AG9" s="137"/>
      <c r="AH9" s="137"/>
      <c r="AI9" s="153"/>
      <c r="AJ9" s="137"/>
      <c r="AK9" s="137" t="s">
        <v>11</v>
      </c>
      <c r="AL9" s="137"/>
      <c r="AM9" s="137"/>
      <c r="AN9" s="153"/>
      <c r="AO9" s="137"/>
      <c r="AP9" s="137" t="s">
        <v>12</v>
      </c>
      <c r="AQ9" s="137"/>
      <c r="AR9" s="137"/>
      <c r="AS9" s="153"/>
      <c r="AT9" s="137"/>
      <c r="AU9" s="137" t="s">
        <v>13</v>
      </c>
      <c r="AV9" s="137"/>
      <c r="AW9" s="137"/>
      <c r="AX9" s="153"/>
      <c r="AY9" s="137"/>
      <c r="AZ9" s="137" t="s">
        <v>14</v>
      </c>
      <c r="BA9" s="137"/>
      <c r="BB9" s="137"/>
      <c r="BC9" s="153"/>
      <c r="BD9" s="137"/>
      <c r="BE9" s="137" t="s">
        <v>15</v>
      </c>
      <c r="BF9" s="137"/>
      <c r="BG9" s="137"/>
      <c r="BH9" s="153"/>
      <c r="BI9" s="137"/>
      <c r="BJ9" s="137" t="s">
        <v>16</v>
      </c>
      <c r="BK9" s="137"/>
      <c r="BL9" s="137"/>
      <c r="BM9" s="153"/>
      <c r="BN9" s="137"/>
      <c r="BO9" s="137" t="s">
        <v>17</v>
      </c>
      <c r="BP9" s="137"/>
      <c r="BQ9" s="137"/>
      <c r="BR9" s="153"/>
      <c r="BS9" s="137"/>
      <c r="BT9" s="137" t="s">
        <v>18</v>
      </c>
      <c r="BU9" s="137"/>
      <c r="BV9" s="137"/>
      <c r="BW9" s="465"/>
    </row>
    <row r="10" spans="1:75" x14ac:dyDescent="0.2">
      <c r="A10" s="377"/>
      <c r="B10" s="377"/>
      <c r="D10" s="459" t="s">
        <v>20</v>
      </c>
      <c r="E10" s="516"/>
      <c r="F10" s="517"/>
      <c r="G10" s="208" t="s">
        <v>22</v>
      </c>
      <c r="H10" s="208"/>
      <c r="I10" s="208"/>
      <c r="J10" s="463"/>
      <c r="K10" s="208"/>
      <c r="L10" s="464"/>
      <c r="M10" s="464"/>
      <c r="N10" s="464"/>
      <c r="O10" s="461"/>
      <c r="P10" s="464"/>
      <c r="Q10" s="464"/>
      <c r="R10" s="464"/>
      <c r="S10" s="464"/>
      <c r="T10" s="461"/>
      <c r="U10" s="464"/>
      <c r="V10" s="464"/>
      <c r="W10" s="464"/>
      <c r="X10" s="464"/>
      <c r="Y10" s="461"/>
      <c r="Z10" s="464"/>
      <c r="AA10" s="464"/>
      <c r="AB10" s="464"/>
      <c r="AC10" s="464"/>
      <c r="AD10" s="461"/>
      <c r="AE10" s="464"/>
      <c r="AF10" s="464"/>
      <c r="AG10" s="464"/>
      <c r="AH10" s="464"/>
      <c r="AI10" s="461"/>
      <c r="AJ10" s="464"/>
      <c r="AK10" s="464"/>
      <c r="AL10" s="464"/>
      <c r="AM10" s="464"/>
      <c r="AN10" s="461"/>
      <c r="AO10" s="464"/>
      <c r="AP10" s="464"/>
      <c r="AQ10" s="464"/>
      <c r="AR10" s="464"/>
      <c r="AS10" s="461"/>
      <c r="AT10" s="464"/>
      <c r="AU10" s="464"/>
      <c r="AV10" s="464"/>
      <c r="AW10" s="464"/>
      <c r="AX10" s="461"/>
      <c r="AY10" s="464"/>
      <c r="AZ10" s="464"/>
      <c r="BA10" s="464"/>
      <c r="BB10" s="464"/>
      <c r="BC10" s="461"/>
      <c r="BD10" s="464"/>
      <c r="BE10" s="464"/>
      <c r="BF10" s="464"/>
      <c r="BG10" s="464"/>
      <c r="BH10" s="461"/>
      <c r="BI10" s="464"/>
      <c r="BJ10" s="464"/>
      <c r="BK10" s="464"/>
      <c r="BL10" s="464"/>
      <c r="BM10" s="461"/>
      <c r="BN10" s="464"/>
      <c r="BO10" s="464"/>
      <c r="BP10" s="464"/>
      <c r="BQ10" s="464"/>
      <c r="BR10" s="461"/>
      <c r="BS10" s="464"/>
      <c r="BT10" s="464"/>
      <c r="BU10" s="464"/>
      <c r="BV10" s="464"/>
      <c r="BW10" s="465"/>
    </row>
    <row r="11" spans="1:75" x14ac:dyDescent="0.2">
      <c r="A11" s="377"/>
      <c r="B11" s="377"/>
      <c r="D11" s="465"/>
      <c r="E11" s="417"/>
      <c r="F11" s="377"/>
      <c r="G11" s="377"/>
      <c r="H11" s="377"/>
      <c r="I11" s="377"/>
      <c r="J11" s="417"/>
      <c r="K11" s="377"/>
      <c r="L11" s="377"/>
      <c r="M11" s="377"/>
      <c r="N11" s="377"/>
      <c r="O11" s="417"/>
      <c r="P11" s="377"/>
      <c r="Q11" s="377"/>
      <c r="R11" s="377"/>
      <c r="S11" s="377"/>
      <c r="T11" s="417"/>
      <c r="U11" s="377"/>
      <c r="V11" s="377"/>
      <c r="W11" s="377"/>
      <c r="X11" s="377"/>
      <c r="Y11" s="417"/>
      <c r="Z11" s="377"/>
      <c r="AA11" s="377"/>
      <c r="AB11" s="377"/>
      <c r="AC11" s="377"/>
      <c r="AD11" s="417"/>
      <c r="AE11" s="377"/>
      <c r="AF11" s="377"/>
      <c r="AG11" s="377"/>
      <c r="AH11" s="377"/>
      <c r="AI11" s="417"/>
      <c r="AJ11" s="377"/>
      <c r="AK11" s="377"/>
      <c r="AL11" s="377"/>
      <c r="AM11" s="377"/>
      <c r="AN11" s="417"/>
      <c r="AO11" s="377"/>
      <c r="AP11" s="377"/>
      <c r="AQ11" s="377"/>
      <c r="AR11" s="377"/>
      <c r="AS11" s="417"/>
      <c r="AT11" s="377"/>
      <c r="AU11" s="377"/>
      <c r="AV11" s="377"/>
      <c r="AW11" s="377"/>
      <c r="AX11" s="417"/>
      <c r="AY11" s="377"/>
      <c r="AZ11" s="377"/>
      <c r="BA11" s="377"/>
      <c r="BB11" s="377"/>
      <c r="BC11" s="417"/>
      <c r="BD11" s="377"/>
      <c r="BE11" s="377"/>
      <c r="BF11" s="377"/>
      <c r="BG11" s="377"/>
      <c r="BH11" s="417"/>
      <c r="BI11" s="377"/>
      <c r="BJ11" s="377"/>
      <c r="BK11" s="377"/>
      <c r="BL11" s="377"/>
      <c r="BM11" s="417"/>
      <c r="BN11" s="377"/>
      <c r="BO11" s="377"/>
      <c r="BP11" s="377"/>
      <c r="BQ11" s="377"/>
      <c r="BR11" s="417"/>
      <c r="BS11" s="377"/>
      <c r="BT11" s="377"/>
      <c r="BU11" s="377"/>
      <c r="BV11" s="377"/>
      <c r="BW11" s="465"/>
    </row>
    <row r="12" spans="1:75" x14ac:dyDescent="0.2">
      <c r="A12" s="377"/>
      <c r="B12" s="377"/>
      <c r="C12" s="377"/>
      <c r="D12" s="455" t="s">
        <v>476</v>
      </c>
      <c r="E12" s="417"/>
      <c r="F12" s="377"/>
      <c r="G12" s="42">
        <f>SUM(G13:G15)</f>
        <v>125230000</v>
      </c>
      <c r="H12" s="53"/>
      <c r="I12" s="53"/>
      <c r="J12" s="518"/>
      <c r="K12" s="377"/>
      <c r="L12" s="42">
        <f>SUM(L13:L15)</f>
        <v>0</v>
      </c>
      <c r="M12" s="53"/>
      <c r="N12" s="53"/>
      <c r="O12" s="518"/>
      <c r="P12" s="377"/>
      <c r="Q12" s="42">
        <f>SUM(Q13:Q15)</f>
        <v>0</v>
      </c>
      <c r="R12" s="53"/>
      <c r="S12" s="53"/>
      <c r="T12" s="518"/>
      <c r="U12" s="377"/>
      <c r="V12" s="42">
        <f>SUM(V13:V15)</f>
        <v>0</v>
      </c>
      <c r="W12" s="53"/>
      <c r="X12" s="53"/>
      <c r="Y12" s="518"/>
      <c r="Z12" s="377"/>
      <c r="AA12" s="42">
        <f>SUM(AA13:AA15)</f>
        <v>86911584</v>
      </c>
      <c r="AB12" s="53"/>
      <c r="AC12" s="53"/>
      <c r="AD12" s="518"/>
      <c r="AE12" s="377"/>
      <c r="AF12" s="42">
        <f>SUM(AF13:AF15)</f>
        <v>0</v>
      </c>
      <c r="AG12" s="53"/>
      <c r="AH12" s="53"/>
      <c r="AI12" s="518"/>
      <c r="AJ12" s="377"/>
      <c r="AK12" s="42">
        <f>SUM(AK13:AK15)</f>
        <v>0</v>
      </c>
      <c r="AL12" s="53"/>
      <c r="AM12" s="53"/>
      <c r="AN12" s="518"/>
      <c r="AO12" s="377"/>
      <c r="AP12" s="42">
        <f>SUM(AP13:AP15)</f>
        <v>0</v>
      </c>
      <c r="AQ12" s="53"/>
      <c r="AR12" s="53"/>
      <c r="AS12" s="518"/>
      <c r="AT12" s="377"/>
      <c r="AU12" s="42">
        <f>SUM(AU13:AU15)</f>
        <v>0</v>
      </c>
      <c r="AV12" s="53"/>
      <c r="AW12" s="53"/>
      <c r="AX12" s="518"/>
      <c r="AY12" s="377"/>
      <c r="AZ12" s="42">
        <f>SUM(AZ13:AZ15)</f>
        <v>0</v>
      </c>
      <c r="BA12" s="53"/>
      <c r="BB12" s="53"/>
      <c r="BC12" s="518"/>
      <c r="BD12" s="377"/>
      <c r="BE12" s="42">
        <f>SUM(BE13:BE15)</f>
        <v>0</v>
      </c>
      <c r="BF12" s="53"/>
      <c r="BG12" s="53"/>
      <c r="BH12" s="518"/>
      <c r="BI12" s="377"/>
      <c r="BJ12" s="42">
        <f>SUM(BJ13:BJ15)</f>
        <v>0</v>
      </c>
      <c r="BK12" s="53"/>
      <c r="BL12" s="53"/>
      <c r="BM12" s="518"/>
      <c r="BN12" s="377"/>
      <c r="BO12" s="42">
        <f>SUM(BO13:BO15)</f>
        <v>0</v>
      </c>
      <c r="BP12" s="53"/>
      <c r="BQ12" s="53"/>
      <c r="BR12" s="518"/>
      <c r="BS12" s="377"/>
      <c r="BT12" s="42">
        <f>SUM(BT13:BT15)</f>
        <v>86911584</v>
      </c>
      <c r="BU12" s="53"/>
      <c r="BV12" s="53"/>
      <c r="BW12" s="465"/>
    </row>
    <row r="13" spans="1:75" x14ac:dyDescent="0.2">
      <c r="A13" s="377"/>
      <c r="B13" s="377"/>
      <c r="C13" s="377"/>
      <c r="D13" s="465" t="s">
        <v>477</v>
      </c>
      <c r="E13" s="417"/>
      <c r="F13" s="519"/>
      <c r="G13" s="520">
        <f>G17</f>
        <v>125230000</v>
      </c>
      <c r="H13" s="521"/>
      <c r="I13" s="53"/>
      <c r="J13" s="518"/>
      <c r="K13" s="519"/>
      <c r="L13" s="520">
        <f>L17</f>
        <v>0</v>
      </c>
      <c r="M13" s="521"/>
      <c r="N13" s="53"/>
      <c r="O13" s="518"/>
      <c r="P13" s="519"/>
      <c r="Q13" s="520">
        <f>Q17</f>
        <v>0</v>
      </c>
      <c r="R13" s="521"/>
      <c r="S13" s="53"/>
      <c r="T13" s="518"/>
      <c r="U13" s="519"/>
      <c r="V13" s="520">
        <f>V17</f>
        <v>0</v>
      </c>
      <c r="W13" s="521"/>
      <c r="X13" s="53"/>
      <c r="Y13" s="518"/>
      <c r="Z13" s="519"/>
      <c r="AA13" s="520">
        <f>AA17</f>
        <v>86911584</v>
      </c>
      <c r="AB13" s="521"/>
      <c r="AC13" s="53"/>
      <c r="AD13" s="518"/>
      <c r="AE13" s="519"/>
      <c r="AF13" s="520">
        <f>AF17</f>
        <v>0</v>
      </c>
      <c r="AG13" s="521"/>
      <c r="AH13" s="53"/>
      <c r="AI13" s="518"/>
      <c r="AJ13" s="519"/>
      <c r="AK13" s="520">
        <f>AK17</f>
        <v>0</v>
      </c>
      <c r="AL13" s="521"/>
      <c r="AM13" s="53"/>
      <c r="AN13" s="518"/>
      <c r="AO13" s="519"/>
      <c r="AP13" s="520">
        <f>AP17</f>
        <v>0</v>
      </c>
      <c r="AQ13" s="521"/>
      <c r="AR13" s="53"/>
      <c r="AS13" s="518"/>
      <c r="AT13" s="519"/>
      <c r="AU13" s="520">
        <f>AU17</f>
        <v>0</v>
      </c>
      <c r="AV13" s="521"/>
      <c r="AW13" s="53"/>
      <c r="AX13" s="518"/>
      <c r="AY13" s="519"/>
      <c r="AZ13" s="520">
        <f>AZ17</f>
        <v>0</v>
      </c>
      <c r="BA13" s="521"/>
      <c r="BB13" s="53"/>
      <c r="BC13" s="518"/>
      <c r="BD13" s="519"/>
      <c r="BE13" s="520">
        <f>BE17</f>
        <v>0</v>
      </c>
      <c r="BF13" s="521"/>
      <c r="BG13" s="53"/>
      <c r="BH13" s="518"/>
      <c r="BI13" s="519"/>
      <c r="BJ13" s="520">
        <f>BJ17</f>
        <v>0</v>
      </c>
      <c r="BK13" s="521"/>
      <c r="BL13" s="53"/>
      <c r="BM13" s="518"/>
      <c r="BN13" s="519"/>
      <c r="BO13" s="520">
        <f>BO17</f>
        <v>0</v>
      </c>
      <c r="BP13" s="521"/>
      <c r="BQ13" s="53"/>
      <c r="BR13" s="518"/>
      <c r="BS13" s="519"/>
      <c r="BT13" s="520">
        <f>BT17</f>
        <v>86911584</v>
      </c>
      <c r="BU13" s="521"/>
      <c r="BV13" s="53"/>
      <c r="BW13" s="465"/>
    </row>
    <row r="14" spans="1:75" x14ac:dyDescent="0.2">
      <c r="A14" s="377"/>
      <c r="B14" s="377"/>
      <c r="C14" s="377"/>
      <c r="D14" s="465" t="s">
        <v>478</v>
      </c>
      <c r="E14" s="417"/>
      <c r="F14" s="518"/>
      <c r="G14" s="53">
        <f>+G63</f>
        <v>0</v>
      </c>
      <c r="H14" s="52"/>
      <c r="I14" s="53"/>
      <c r="J14" s="518"/>
      <c r="K14" s="518"/>
      <c r="L14" s="53">
        <f>L63</f>
        <v>0</v>
      </c>
      <c r="M14" s="52"/>
      <c r="N14" s="53"/>
      <c r="O14" s="518"/>
      <c r="P14" s="518"/>
      <c r="Q14" s="53">
        <f>Q63</f>
        <v>0</v>
      </c>
      <c r="R14" s="52"/>
      <c r="S14" s="53"/>
      <c r="T14" s="518"/>
      <c r="U14" s="518"/>
      <c r="V14" s="53">
        <f>V63</f>
        <v>0</v>
      </c>
      <c r="W14" s="52"/>
      <c r="X14" s="53"/>
      <c r="Y14" s="518"/>
      <c r="Z14" s="518"/>
      <c r="AA14" s="53">
        <f>AA63</f>
        <v>0</v>
      </c>
      <c r="AB14" s="52"/>
      <c r="AC14" s="53"/>
      <c r="AD14" s="518"/>
      <c r="AE14" s="518"/>
      <c r="AF14" s="53">
        <f>AF63</f>
        <v>0</v>
      </c>
      <c r="AG14" s="52"/>
      <c r="AH14" s="53"/>
      <c r="AI14" s="518"/>
      <c r="AJ14" s="518"/>
      <c r="AK14" s="53">
        <f>AK63</f>
        <v>0</v>
      </c>
      <c r="AL14" s="52"/>
      <c r="AM14" s="53"/>
      <c r="AN14" s="518"/>
      <c r="AO14" s="518"/>
      <c r="AP14" s="53">
        <f>AP63</f>
        <v>0</v>
      </c>
      <c r="AQ14" s="52"/>
      <c r="AR14" s="53"/>
      <c r="AS14" s="518"/>
      <c r="AT14" s="518"/>
      <c r="AU14" s="53">
        <f>AU63</f>
        <v>0</v>
      </c>
      <c r="AV14" s="52"/>
      <c r="AW14" s="53"/>
      <c r="AX14" s="518"/>
      <c r="AY14" s="518"/>
      <c r="AZ14" s="53">
        <f>AZ63</f>
        <v>0</v>
      </c>
      <c r="BA14" s="52"/>
      <c r="BB14" s="53"/>
      <c r="BC14" s="518"/>
      <c r="BD14" s="518"/>
      <c r="BE14" s="53">
        <f>BE63</f>
        <v>0</v>
      </c>
      <c r="BF14" s="52"/>
      <c r="BG14" s="53"/>
      <c r="BH14" s="518"/>
      <c r="BI14" s="518"/>
      <c r="BJ14" s="53">
        <f>BJ63</f>
        <v>0</v>
      </c>
      <c r="BK14" s="52"/>
      <c r="BL14" s="53"/>
      <c r="BM14" s="518"/>
      <c r="BN14" s="518"/>
      <c r="BO14" s="53">
        <f>BO63</f>
        <v>0</v>
      </c>
      <c r="BP14" s="52"/>
      <c r="BQ14" s="53"/>
      <c r="BR14" s="518"/>
      <c r="BS14" s="518"/>
      <c r="BT14" s="53">
        <f>BT63</f>
        <v>0</v>
      </c>
      <c r="BU14" s="52"/>
      <c r="BV14" s="53"/>
      <c r="BW14" s="465"/>
    </row>
    <row r="15" spans="1:75" x14ac:dyDescent="0.2">
      <c r="A15" s="377"/>
      <c r="B15" s="377"/>
      <c r="C15" s="377"/>
      <c r="D15" s="465" t="s">
        <v>479</v>
      </c>
      <c r="E15" s="417"/>
      <c r="F15" s="522"/>
      <c r="G15" s="102">
        <v>0</v>
      </c>
      <c r="H15" s="101"/>
      <c r="I15" s="53"/>
      <c r="J15" s="518"/>
      <c r="K15" s="522"/>
      <c r="L15" s="102">
        <f>L73</f>
        <v>0</v>
      </c>
      <c r="M15" s="101"/>
      <c r="N15" s="53"/>
      <c r="O15" s="518"/>
      <c r="P15" s="522"/>
      <c r="Q15" s="102">
        <f>Q73</f>
        <v>0</v>
      </c>
      <c r="R15" s="101"/>
      <c r="S15" s="53"/>
      <c r="T15" s="518"/>
      <c r="U15" s="522"/>
      <c r="V15" s="102">
        <f>V73</f>
        <v>0</v>
      </c>
      <c r="W15" s="101"/>
      <c r="X15" s="53"/>
      <c r="Y15" s="518"/>
      <c r="Z15" s="522"/>
      <c r="AA15" s="102">
        <f>AA73</f>
        <v>0</v>
      </c>
      <c r="AB15" s="101"/>
      <c r="AC15" s="53"/>
      <c r="AD15" s="518"/>
      <c r="AE15" s="522"/>
      <c r="AF15" s="102">
        <f>AF73</f>
        <v>0</v>
      </c>
      <c r="AG15" s="101"/>
      <c r="AH15" s="53"/>
      <c r="AI15" s="518"/>
      <c r="AJ15" s="522"/>
      <c r="AK15" s="102">
        <f>AK73</f>
        <v>0</v>
      </c>
      <c r="AL15" s="101"/>
      <c r="AM15" s="53"/>
      <c r="AN15" s="518"/>
      <c r="AO15" s="522"/>
      <c r="AP15" s="102">
        <f>AP73</f>
        <v>0</v>
      </c>
      <c r="AQ15" s="101"/>
      <c r="AR15" s="53"/>
      <c r="AS15" s="518"/>
      <c r="AT15" s="522"/>
      <c r="AU15" s="102">
        <f>AU73</f>
        <v>0</v>
      </c>
      <c r="AV15" s="101"/>
      <c r="AW15" s="53"/>
      <c r="AX15" s="518"/>
      <c r="AY15" s="522"/>
      <c r="AZ15" s="102">
        <f>AZ73</f>
        <v>0</v>
      </c>
      <c r="BA15" s="101"/>
      <c r="BB15" s="53"/>
      <c r="BC15" s="518"/>
      <c r="BD15" s="522"/>
      <c r="BE15" s="102">
        <f>BE73</f>
        <v>0</v>
      </c>
      <c r="BF15" s="101"/>
      <c r="BG15" s="53"/>
      <c r="BH15" s="518"/>
      <c r="BI15" s="522"/>
      <c r="BJ15" s="102">
        <f>BJ73</f>
        <v>0</v>
      </c>
      <c r="BK15" s="101"/>
      <c r="BL15" s="53"/>
      <c r="BM15" s="518"/>
      <c r="BN15" s="522"/>
      <c r="BO15" s="102">
        <f>BO73</f>
        <v>0</v>
      </c>
      <c r="BP15" s="101"/>
      <c r="BQ15" s="53"/>
      <c r="BR15" s="518"/>
      <c r="BS15" s="522"/>
      <c r="BT15" s="102">
        <f>BT73</f>
        <v>0</v>
      </c>
      <c r="BU15" s="101"/>
      <c r="BV15" s="53"/>
      <c r="BW15" s="465"/>
    </row>
    <row r="16" spans="1:75" x14ac:dyDescent="0.2">
      <c r="A16" s="377"/>
      <c r="B16" s="377"/>
      <c r="C16" s="377"/>
      <c r="D16" s="465"/>
      <c r="E16" s="417"/>
      <c r="F16" s="377"/>
      <c r="G16" s="53"/>
      <c r="H16" s="53"/>
      <c r="I16" s="53"/>
      <c r="J16" s="518"/>
      <c r="K16" s="53"/>
      <c r="L16" s="53"/>
      <c r="M16" s="53"/>
      <c r="N16" s="53"/>
      <c r="O16" s="518"/>
      <c r="P16" s="53"/>
      <c r="Q16" s="53"/>
      <c r="R16" s="53"/>
      <c r="S16" s="53"/>
      <c r="T16" s="518"/>
      <c r="U16" s="53"/>
      <c r="V16" s="53"/>
      <c r="W16" s="53"/>
      <c r="X16" s="53"/>
      <c r="Y16" s="518"/>
      <c r="Z16" s="53"/>
      <c r="AA16" s="53"/>
      <c r="AB16" s="53"/>
      <c r="AC16" s="53"/>
      <c r="AD16" s="518"/>
      <c r="AE16" s="53"/>
      <c r="AF16" s="53"/>
      <c r="AG16" s="53"/>
      <c r="AH16" s="53"/>
      <c r="AI16" s="518"/>
      <c r="AJ16" s="53"/>
      <c r="AK16" s="53"/>
      <c r="AL16" s="53"/>
      <c r="AM16" s="53"/>
      <c r="AN16" s="518"/>
      <c r="AO16" s="53"/>
      <c r="AP16" s="53"/>
      <c r="AQ16" s="53"/>
      <c r="AR16" s="53"/>
      <c r="AS16" s="518"/>
      <c r="AT16" s="53"/>
      <c r="AU16" s="53"/>
      <c r="AV16" s="53"/>
      <c r="AW16" s="53"/>
      <c r="AX16" s="518"/>
      <c r="AY16" s="53"/>
      <c r="AZ16" s="53"/>
      <c r="BA16" s="53"/>
      <c r="BB16" s="53"/>
      <c r="BC16" s="518"/>
      <c r="BD16" s="53"/>
      <c r="BE16" s="53"/>
      <c r="BF16" s="53"/>
      <c r="BG16" s="53"/>
      <c r="BH16" s="518"/>
      <c r="BI16" s="53"/>
      <c r="BJ16" s="53"/>
      <c r="BK16" s="53"/>
      <c r="BL16" s="53"/>
      <c r="BM16" s="518"/>
      <c r="BN16" s="53"/>
      <c r="BO16" s="53"/>
      <c r="BP16" s="53"/>
      <c r="BQ16" s="53"/>
      <c r="BR16" s="518"/>
      <c r="BS16" s="53"/>
      <c r="BT16" s="53"/>
      <c r="BU16" s="53"/>
      <c r="BV16" s="53"/>
      <c r="BW16" s="465"/>
    </row>
    <row r="17" spans="1:78" s="410" customFormat="1" x14ac:dyDescent="0.2">
      <c r="A17" s="411"/>
      <c r="B17" s="411"/>
      <c r="C17" s="411"/>
      <c r="D17" s="455" t="s">
        <v>480</v>
      </c>
      <c r="E17" s="485"/>
      <c r="F17" s="411"/>
      <c r="G17" s="42">
        <f>SUM(G18:G20)</f>
        <v>125230000</v>
      </c>
      <c r="H17" s="42"/>
      <c r="I17" s="42"/>
      <c r="J17" s="523"/>
      <c r="K17" s="42"/>
      <c r="L17" s="42">
        <f>SUM(L18:L20)</f>
        <v>0</v>
      </c>
      <c r="M17" s="42"/>
      <c r="N17" s="42"/>
      <c r="O17" s="523"/>
      <c r="P17" s="42"/>
      <c r="Q17" s="42">
        <f>SUM(Q18:Q20)</f>
        <v>0</v>
      </c>
      <c r="R17" s="42"/>
      <c r="S17" s="42"/>
      <c r="T17" s="523"/>
      <c r="U17" s="42"/>
      <c r="V17" s="42">
        <f>SUM(V18:V20)</f>
        <v>0</v>
      </c>
      <c r="W17" s="42"/>
      <c r="X17" s="42"/>
      <c r="Y17" s="523"/>
      <c r="Z17" s="42"/>
      <c r="AA17" s="42">
        <f>SUM(AA18:AA20)</f>
        <v>86911584</v>
      </c>
      <c r="AB17" s="42"/>
      <c r="AC17" s="42"/>
      <c r="AD17" s="523"/>
      <c r="AE17" s="42"/>
      <c r="AF17" s="42">
        <f>SUM(AF18:AF20)</f>
        <v>0</v>
      </c>
      <c r="AG17" s="42"/>
      <c r="AH17" s="42"/>
      <c r="AI17" s="523"/>
      <c r="AJ17" s="42"/>
      <c r="AK17" s="42">
        <f>SUM(AK18:AK20)</f>
        <v>0</v>
      </c>
      <c r="AL17" s="42"/>
      <c r="AM17" s="42"/>
      <c r="AN17" s="523"/>
      <c r="AO17" s="42"/>
      <c r="AP17" s="42">
        <f>SUM(AP18:AP20)</f>
        <v>0</v>
      </c>
      <c r="AQ17" s="42"/>
      <c r="AR17" s="42"/>
      <c r="AS17" s="523"/>
      <c r="AT17" s="42"/>
      <c r="AU17" s="42">
        <f>SUM(AU18:AU20)</f>
        <v>0</v>
      </c>
      <c r="AV17" s="42"/>
      <c r="AW17" s="42"/>
      <c r="AX17" s="523"/>
      <c r="AY17" s="42"/>
      <c r="AZ17" s="42">
        <f>SUM(AZ18:AZ20)</f>
        <v>0</v>
      </c>
      <c r="BA17" s="42"/>
      <c r="BB17" s="42"/>
      <c r="BC17" s="523"/>
      <c r="BD17" s="42"/>
      <c r="BE17" s="42">
        <f>SUM(BE18:BE20)</f>
        <v>0</v>
      </c>
      <c r="BF17" s="42"/>
      <c r="BG17" s="42"/>
      <c r="BH17" s="523"/>
      <c r="BI17" s="42"/>
      <c r="BJ17" s="42">
        <f>SUM(BJ18:BJ20)</f>
        <v>0</v>
      </c>
      <c r="BK17" s="42"/>
      <c r="BL17" s="42"/>
      <c r="BM17" s="523"/>
      <c r="BN17" s="42"/>
      <c r="BO17" s="42">
        <f>SUM(BO18:BO20)</f>
        <v>0</v>
      </c>
      <c r="BP17" s="42"/>
      <c r="BQ17" s="42"/>
      <c r="BR17" s="523"/>
      <c r="BS17" s="42"/>
      <c r="BT17" s="42">
        <f>SUM(BT18:BT20)</f>
        <v>86911584</v>
      </c>
      <c r="BU17" s="42"/>
      <c r="BV17" s="42"/>
      <c r="BW17" s="455"/>
      <c r="BY17" s="38"/>
      <c r="BZ17" s="38"/>
    </row>
    <row r="18" spans="1:78" x14ac:dyDescent="0.2">
      <c r="A18" s="377"/>
      <c r="B18" s="377"/>
      <c r="C18" s="377"/>
      <c r="D18" s="465" t="s">
        <v>378</v>
      </c>
      <c r="E18" s="417"/>
      <c r="F18" s="469"/>
      <c r="G18" s="520">
        <v>125230000</v>
      </c>
      <c r="H18" s="521"/>
      <c r="I18" s="53"/>
      <c r="J18" s="518"/>
      <c r="K18" s="519"/>
      <c r="L18" s="520">
        <f>+L38+L43+L57+L84+L89+L94+L33+L28+L23</f>
        <v>0</v>
      </c>
      <c r="M18" s="521"/>
      <c r="N18" s="53"/>
      <c r="O18" s="518"/>
      <c r="P18" s="519"/>
      <c r="Q18" s="520">
        <f>+Q38+Q43+Q57+Q84+Q89+Q94+Q33+Q28+Q23</f>
        <v>0</v>
      </c>
      <c r="R18" s="521"/>
      <c r="S18" s="53"/>
      <c r="T18" s="518"/>
      <c r="U18" s="519"/>
      <c r="V18" s="520">
        <f>+V38+V43+V57+V84+V89+V94+V33+V28+V23</f>
        <v>0</v>
      </c>
      <c r="W18" s="521"/>
      <c r="X18" s="53"/>
      <c r="Y18" s="518"/>
      <c r="Z18" s="519"/>
      <c r="AA18" s="520">
        <f>+AA38+AA43+AA57+AA84+AA89+AA94+AA33+AA28+AA23</f>
        <v>86911584</v>
      </c>
      <c r="AB18" s="521"/>
      <c r="AC18" s="53"/>
      <c r="AD18" s="518"/>
      <c r="AE18" s="519"/>
      <c r="AF18" s="520">
        <f>+AF38+AF43+AF57+AF84+AF89+AF94+AF33+AF28+AF23</f>
        <v>0</v>
      </c>
      <c r="AG18" s="521"/>
      <c r="AH18" s="53"/>
      <c r="AI18" s="518"/>
      <c r="AJ18" s="519"/>
      <c r="AK18" s="520">
        <f>+AK38+AK43+AK57+AK84+AK89+AK94+AK33+AK28+AK23</f>
        <v>0</v>
      </c>
      <c r="AL18" s="521"/>
      <c r="AM18" s="53"/>
      <c r="AN18" s="518"/>
      <c r="AO18" s="519"/>
      <c r="AP18" s="520">
        <f>+AP38+AP43+AP57+AP84+AP89+AP94+AP33+AP28+AP23</f>
        <v>0</v>
      </c>
      <c r="AQ18" s="521"/>
      <c r="AR18" s="53"/>
      <c r="AS18" s="518"/>
      <c r="AT18" s="519"/>
      <c r="AU18" s="520">
        <f>+AU38+AU43+AU57+AU84+AU89+AU94+AU33+AU28+AU23</f>
        <v>0</v>
      </c>
      <c r="AV18" s="521"/>
      <c r="AW18" s="53"/>
      <c r="AX18" s="518"/>
      <c r="AY18" s="519"/>
      <c r="AZ18" s="520">
        <f>+AZ38+AZ43+AZ57+AZ84+AZ89+AZ94+AZ33+AZ28+AZ23</f>
        <v>0</v>
      </c>
      <c r="BA18" s="521"/>
      <c r="BB18" s="53"/>
      <c r="BC18" s="518"/>
      <c r="BD18" s="519"/>
      <c r="BE18" s="520">
        <f>+BE38+BE43+BE57+BE84+BE89+BE94+BE33+BE28+BE23</f>
        <v>0</v>
      </c>
      <c r="BF18" s="521"/>
      <c r="BG18" s="53"/>
      <c r="BH18" s="518"/>
      <c r="BI18" s="519"/>
      <c r="BJ18" s="520">
        <f>+BJ38+BJ43+BJ57+BJ84+BJ89+BJ94+BJ33+BJ28+BJ23</f>
        <v>0</v>
      </c>
      <c r="BK18" s="521"/>
      <c r="BL18" s="53"/>
      <c r="BM18" s="518"/>
      <c r="BN18" s="519"/>
      <c r="BO18" s="520">
        <f>+BO38+BO43+BO57+BO84+BO89+BO94+BO33+BO28+BO23</f>
        <v>0</v>
      </c>
      <c r="BP18" s="521"/>
      <c r="BQ18" s="53"/>
      <c r="BR18" s="518"/>
      <c r="BS18" s="519"/>
      <c r="BT18" s="520">
        <f>+BT38+BT43+BT57+BT84+BT89+BT94+BT33+BT28+BT23</f>
        <v>86911584</v>
      </c>
      <c r="BU18" s="521"/>
      <c r="BV18" s="53"/>
      <c r="BW18" s="465"/>
    </row>
    <row r="19" spans="1:78" x14ac:dyDescent="0.2">
      <c r="A19" s="377"/>
      <c r="B19" s="377"/>
      <c r="C19" s="377"/>
      <c r="D19" s="465" t="s">
        <v>380</v>
      </c>
      <c r="E19" s="417"/>
      <c r="F19" s="417"/>
      <c r="G19" s="53">
        <v>0</v>
      </c>
      <c r="H19" s="52"/>
      <c r="I19" s="53"/>
      <c r="J19" s="518"/>
      <c r="K19" s="518"/>
      <c r="L19" s="53">
        <f>+L39+L44+L85+L90+L95+L34+L29+L24</f>
        <v>0</v>
      </c>
      <c r="M19" s="52"/>
      <c r="N19" s="53"/>
      <c r="O19" s="518"/>
      <c r="P19" s="518"/>
      <c r="Q19" s="53">
        <f>+Q39+Q44+Q85+Q90+Q95+Q34+Q29+Q24</f>
        <v>0</v>
      </c>
      <c r="R19" s="52"/>
      <c r="S19" s="53"/>
      <c r="T19" s="518"/>
      <c r="U19" s="518"/>
      <c r="V19" s="53">
        <f>+V39+V44+V85+V90+V95+V34+V29+V24</f>
        <v>0</v>
      </c>
      <c r="W19" s="52"/>
      <c r="X19" s="53"/>
      <c r="Y19" s="518"/>
      <c r="Z19" s="518"/>
      <c r="AA19" s="53">
        <f>+AA39+AA44+AA85+AA90+AA95+AA34+AA29+AA24</f>
        <v>0</v>
      </c>
      <c r="AB19" s="52"/>
      <c r="AC19" s="53"/>
      <c r="AD19" s="518"/>
      <c r="AE19" s="518"/>
      <c r="AF19" s="53">
        <f>+AF39+AF44+AF85+AF90+AF95+AF34+AF29+AF24</f>
        <v>0</v>
      </c>
      <c r="AG19" s="52"/>
      <c r="AH19" s="53"/>
      <c r="AI19" s="518"/>
      <c r="AJ19" s="518"/>
      <c r="AK19" s="53">
        <f>+AK39+AK44+AK85+AK90+AK95+AK34+AK29+AK24</f>
        <v>0</v>
      </c>
      <c r="AL19" s="52"/>
      <c r="AM19" s="53"/>
      <c r="AN19" s="518"/>
      <c r="AO19" s="518"/>
      <c r="AP19" s="53">
        <f>+AP39+AP44+AP85+AP90+AP95+AP34+AP29+AP24</f>
        <v>0</v>
      </c>
      <c r="AQ19" s="52"/>
      <c r="AR19" s="53"/>
      <c r="AS19" s="518"/>
      <c r="AT19" s="518"/>
      <c r="AU19" s="53">
        <f>+AU39+AU44+AU85+AU90+AU95+AU34+AU29+AU24</f>
        <v>0</v>
      </c>
      <c r="AV19" s="52"/>
      <c r="AW19" s="53"/>
      <c r="AX19" s="518"/>
      <c r="AY19" s="518"/>
      <c r="AZ19" s="53">
        <f>+AZ39+AZ44+AZ85+AZ90+AZ95+AZ34+AZ29+AZ24</f>
        <v>0</v>
      </c>
      <c r="BA19" s="52"/>
      <c r="BB19" s="53"/>
      <c r="BC19" s="518"/>
      <c r="BD19" s="518"/>
      <c r="BE19" s="53">
        <f>+BE39+BE44+BE85+BE90+BE95+BE34+BE29+BE24</f>
        <v>0</v>
      </c>
      <c r="BF19" s="52"/>
      <c r="BG19" s="53"/>
      <c r="BH19" s="518"/>
      <c r="BI19" s="518"/>
      <c r="BJ19" s="53">
        <f>+BJ39+BJ44+BJ85+BJ90+BJ95+BJ34+BJ29+BJ24</f>
        <v>0</v>
      </c>
      <c r="BK19" s="52"/>
      <c r="BL19" s="53"/>
      <c r="BM19" s="518"/>
      <c r="BN19" s="518"/>
      <c r="BO19" s="53">
        <f>+BO39+BO44+BO85+BO90+BO95+BO34+BO29+BO24</f>
        <v>0</v>
      </c>
      <c r="BP19" s="52"/>
      <c r="BQ19" s="53"/>
      <c r="BR19" s="518"/>
      <c r="BS19" s="518"/>
      <c r="BT19" s="53">
        <f>+BT39+BT44+BT85+BT90+BT95+BT34+BT29+BT24</f>
        <v>0</v>
      </c>
      <c r="BU19" s="52"/>
      <c r="BV19" s="53"/>
      <c r="BW19" s="465"/>
    </row>
    <row r="20" spans="1:78" x14ac:dyDescent="0.2">
      <c r="A20" s="377"/>
      <c r="B20" s="377"/>
      <c r="C20" s="377"/>
      <c r="D20" s="465" t="s">
        <v>388</v>
      </c>
      <c r="E20" s="417"/>
      <c r="F20" s="478"/>
      <c r="G20" s="102">
        <v>0</v>
      </c>
      <c r="H20" s="101"/>
      <c r="I20" s="53"/>
      <c r="J20" s="518"/>
      <c r="K20" s="522"/>
      <c r="L20" s="102">
        <f>+L40+L45+L86+L91+L96+L35+L30+L25</f>
        <v>0</v>
      </c>
      <c r="M20" s="101"/>
      <c r="N20" s="53"/>
      <c r="O20" s="518"/>
      <c r="P20" s="522"/>
      <c r="Q20" s="102">
        <f>+Q40+Q45+Q86+Q91+Q96+Q35+Q30+Q25</f>
        <v>0</v>
      </c>
      <c r="R20" s="101"/>
      <c r="S20" s="53"/>
      <c r="T20" s="518"/>
      <c r="U20" s="522"/>
      <c r="V20" s="102">
        <f>+V40+V45+V86+V91+V96+V35+V30+V25</f>
        <v>0</v>
      </c>
      <c r="W20" s="101"/>
      <c r="X20" s="53"/>
      <c r="Y20" s="518"/>
      <c r="Z20" s="522"/>
      <c r="AA20" s="102">
        <f>+AA40+AA45+AA86+AA91+AA96+AA35+AA30+AA25</f>
        <v>0</v>
      </c>
      <c r="AB20" s="101"/>
      <c r="AC20" s="53"/>
      <c r="AD20" s="518"/>
      <c r="AE20" s="522"/>
      <c r="AF20" s="102">
        <f>+AF40+AF45+AF86+AF91+AF96+AF35+AF30+AF25</f>
        <v>0</v>
      </c>
      <c r="AG20" s="101"/>
      <c r="AH20" s="53"/>
      <c r="AI20" s="518"/>
      <c r="AJ20" s="522"/>
      <c r="AK20" s="102">
        <f>+AK40+AK45+AK86+AK91+AK96+AK35+AK30+AK25</f>
        <v>0</v>
      </c>
      <c r="AL20" s="101"/>
      <c r="AM20" s="53"/>
      <c r="AN20" s="518"/>
      <c r="AO20" s="522"/>
      <c r="AP20" s="102">
        <f>+AP40+AP45+AP86+AP91+AP96+AP35+AP30+AP25</f>
        <v>0</v>
      </c>
      <c r="AQ20" s="101"/>
      <c r="AR20" s="53"/>
      <c r="AS20" s="518"/>
      <c r="AT20" s="522"/>
      <c r="AU20" s="102">
        <f>+AU40+AU45+AU86+AU91+AU96+AU35+AU30+AU25</f>
        <v>0</v>
      </c>
      <c r="AV20" s="101"/>
      <c r="AW20" s="53"/>
      <c r="AX20" s="518"/>
      <c r="AY20" s="522"/>
      <c r="AZ20" s="102">
        <f>+AZ40+AZ45+AZ86+AZ91+AZ96+AZ35+AZ30+AZ25</f>
        <v>0</v>
      </c>
      <c r="BA20" s="101"/>
      <c r="BB20" s="53"/>
      <c r="BC20" s="518"/>
      <c r="BD20" s="522"/>
      <c r="BE20" s="102">
        <f>+BE40+BE45+BE86+BE91+BE96+BE35+BE30+BE25</f>
        <v>0</v>
      </c>
      <c r="BF20" s="101"/>
      <c r="BG20" s="53"/>
      <c r="BH20" s="518"/>
      <c r="BI20" s="522"/>
      <c r="BJ20" s="102">
        <f>+BJ40+BJ45+BJ86+BJ91+BJ96+BJ35+BJ30+BJ25</f>
        <v>0</v>
      </c>
      <c r="BK20" s="101"/>
      <c r="BL20" s="53"/>
      <c r="BM20" s="518"/>
      <c r="BN20" s="522"/>
      <c r="BO20" s="102">
        <f>+BO40+BO45+BO86+BO91+BO96+BO35+BO30+BO25</f>
        <v>0</v>
      </c>
      <c r="BP20" s="101"/>
      <c r="BQ20" s="53"/>
      <c r="BR20" s="518"/>
      <c r="BS20" s="522"/>
      <c r="BT20" s="102">
        <f>+BT40+BT45+BT86+BT91+BT96+BT35+BT30+BT25</f>
        <v>0</v>
      </c>
      <c r="BU20" s="101"/>
      <c r="BV20" s="53"/>
      <c r="BW20" s="465"/>
    </row>
    <row r="21" spans="1:78" x14ac:dyDescent="0.2">
      <c r="A21" s="377"/>
      <c r="B21" s="377"/>
      <c r="C21" s="377"/>
      <c r="D21" s="465"/>
      <c r="E21" s="417"/>
      <c r="F21" s="377"/>
      <c r="G21" s="53"/>
      <c r="H21" s="53"/>
      <c r="I21" s="53"/>
      <c r="J21" s="518"/>
      <c r="K21" s="53"/>
      <c r="L21" s="53"/>
      <c r="M21" s="53"/>
      <c r="N21" s="53"/>
      <c r="O21" s="518"/>
      <c r="P21" s="53"/>
      <c r="Q21" s="53"/>
      <c r="R21" s="53"/>
      <c r="S21" s="53"/>
      <c r="T21" s="518"/>
      <c r="U21" s="53"/>
      <c r="V21" s="53"/>
      <c r="W21" s="53"/>
      <c r="X21" s="53"/>
      <c r="Y21" s="518"/>
      <c r="Z21" s="53"/>
      <c r="AA21" s="53"/>
      <c r="AB21" s="53"/>
      <c r="AC21" s="53"/>
      <c r="AD21" s="518"/>
      <c r="AE21" s="53"/>
      <c r="AF21" s="53"/>
      <c r="AG21" s="53"/>
      <c r="AH21" s="53"/>
      <c r="AI21" s="518"/>
      <c r="AJ21" s="53"/>
      <c r="AK21" s="53"/>
      <c r="AL21" s="53"/>
      <c r="AM21" s="53"/>
      <c r="AN21" s="518"/>
      <c r="AO21" s="53"/>
      <c r="AP21" s="53"/>
      <c r="AQ21" s="53"/>
      <c r="AR21" s="53"/>
      <c r="AS21" s="518"/>
      <c r="AT21" s="53"/>
      <c r="AU21" s="53"/>
      <c r="AV21" s="53"/>
      <c r="AW21" s="53"/>
      <c r="AX21" s="518"/>
      <c r="AY21" s="53"/>
      <c r="AZ21" s="53"/>
      <c r="BA21" s="53"/>
      <c r="BB21" s="53"/>
      <c r="BC21" s="518"/>
      <c r="BD21" s="53"/>
      <c r="BE21" s="53"/>
      <c r="BF21" s="53"/>
      <c r="BG21" s="53"/>
      <c r="BH21" s="518"/>
      <c r="BI21" s="53"/>
      <c r="BJ21" s="53"/>
      <c r="BK21" s="53"/>
      <c r="BL21" s="53"/>
      <c r="BM21" s="518"/>
      <c r="BN21" s="53"/>
      <c r="BO21" s="53"/>
      <c r="BP21" s="53"/>
      <c r="BQ21" s="53"/>
      <c r="BR21" s="518"/>
      <c r="BS21" s="53"/>
      <c r="BT21" s="53"/>
      <c r="BU21" s="53"/>
      <c r="BV21" s="53"/>
      <c r="BW21" s="465"/>
    </row>
    <row r="22" spans="1:78" hidden="1" x14ac:dyDescent="0.2">
      <c r="A22" s="377"/>
      <c r="B22" s="377"/>
      <c r="C22" s="377"/>
      <c r="D22" s="465" t="s">
        <v>481</v>
      </c>
      <c r="E22" s="417"/>
      <c r="F22" s="377"/>
      <c r="G22" s="53">
        <f>SUM(G23:G25)</f>
        <v>0</v>
      </c>
      <c r="H22" s="53"/>
      <c r="I22" s="53"/>
      <c r="J22" s="518"/>
      <c r="K22" s="53"/>
      <c r="L22" s="53">
        <f>L23+L25</f>
        <v>0</v>
      </c>
      <c r="M22" s="53"/>
      <c r="N22" s="53"/>
      <c r="O22" s="518"/>
      <c r="P22" s="53"/>
      <c r="Q22" s="53">
        <f>Q23+Q25</f>
        <v>0</v>
      </c>
      <c r="R22" s="53"/>
      <c r="S22" s="53"/>
      <c r="T22" s="518"/>
      <c r="U22" s="53"/>
      <c r="V22" s="53">
        <f>V23+V25</f>
        <v>0</v>
      </c>
      <c r="W22" s="53"/>
      <c r="X22" s="53"/>
      <c r="Y22" s="518"/>
      <c r="Z22" s="53"/>
      <c r="AA22" s="53">
        <f>AA23+AA25</f>
        <v>0</v>
      </c>
      <c r="AB22" s="53"/>
      <c r="AC22" s="53"/>
      <c r="AD22" s="518"/>
      <c r="AE22" s="53"/>
      <c r="AF22" s="53">
        <f>AF23+AF25</f>
        <v>0</v>
      </c>
      <c r="AG22" s="53"/>
      <c r="AH22" s="53"/>
      <c r="AI22" s="518"/>
      <c r="AJ22" s="53"/>
      <c r="AK22" s="53">
        <f>AK23+AK25</f>
        <v>0</v>
      </c>
      <c r="AL22" s="53"/>
      <c r="AM22" s="53"/>
      <c r="AN22" s="518"/>
      <c r="AO22" s="53"/>
      <c r="AP22" s="53">
        <f>AP23+AP25</f>
        <v>0</v>
      </c>
      <c r="AQ22" s="53"/>
      <c r="AR22" s="53"/>
      <c r="AS22" s="518"/>
      <c r="AT22" s="53"/>
      <c r="AU22" s="53">
        <f>AU23+AU25</f>
        <v>0</v>
      </c>
      <c r="AV22" s="53"/>
      <c r="AW22" s="53"/>
      <c r="AX22" s="518"/>
      <c r="AY22" s="53"/>
      <c r="AZ22" s="53">
        <f>AZ23+AZ25</f>
        <v>0</v>
      </c>
      <c r="BA22" s="53"/>
      <c r="BB22" s="53"/>
      <c r="BC22" s="518"/>
      <c r="BD22" s="53"/>
      <c r="BE22" s="53">
        <f>BE23+BE25</f>
        <v>0</v>
      </c>
      <c r="BF22" s="53"/>
      <c r="BG22" s="53"/>
      <c r="BH22" s="518"/>
      <c r="BI22" s="53"/>
      <c r="BJ22" s="53">
        <f>BJ23+BJ25</f>
        <v>0</v>
      </c>
      <c r="BK22" s="53"/>
      <c r="BL22" s="53"/>
      <c r="BM22" s="518"/>
      <c r="BN22" s="53"/>
      <c r="BO22" s="53">
        <f>BO23+BO25</f>
        <v>0</v>
      </c>
      <c r="BP22" s="53"/>
      <c r="BQ22" s="53"/>
      <c r="BR22" s="518"/>
      <c r="BS22" s="53"/>
      <c r="BT22" s="53">
        <f>SUM(BT23:BT25)</f>
        <v>0</v>
      </c>
      <c r="BU22" s="53"/>
      <c r="BV22" s="53"/>
      <c r="BW22" s="465"/>
    </row>
    <row r="23" spans="1:78" hidden="1" x14ac:dyDescent="0.2">
      <c r="A23" s="377"/>
      <c r="B23" s="377"/>
      <c r="C23" s="377"/>
      <c r="D23" s="465" t="s">
        <v>378</v>
      </c>
      <c r="E23" s="417"/>
      <c r="F23" s="469"/>
      <c r="G23" s="520">
        <v>0</v>
      </c>
      <c r="H23" s="521"/>
      <c r="I23" s="53"/>
      <c r="J23" s="518"/>
      <c r="K23" s="519"/>
      <c r="L23" s="520">
        <v>0</v>
      </c>
      <c r="M23" s="521"/>
      <c r="N23" s="53"/>
      <c r="O23" s="518"/>
      <c r="P23" s="519"/>
      <c r="Q23" s="520">
        <v>0</v>
      </c>
      <c r="R23" s="521"/>
      <c r="S23" s="53"/>
      <c r="T23" s="518"/>
      <c r="U23" s="519"/>
      <c r="V23" s="520">
        <v>0</v>
      </c>
      <c r="W23" s="521"/>
      <c r="X23" s="53"/>
      <c r="Y23" s="518"/>
      <c r="Z23" s="519"/>
      <c r="AA23" s="520">
        <v>0</v>
      </c>
      <c r="AB23" s="521"/>
      <c r="AC23" s="53"/>
      <c r="AD23" s="518"/>
      <c r="AE23" s="519"/>
      <c r="AF23" s="520">
        <v>0</v>
      </c>
      <c r="AG23" s="521"/>
      <c r="AH23" s="53"/>
      <c r="AI23" s="518"/>
      <c r="AJ23" s="519"/>
      <c r="AK23" s="520">
        <v>0</v>
      </c>
      <c r="AL23" s="521"/>
      <c r="AM23" s="53"/>
      <c r="AN23" s="518"/>
      <c r="AO23" s="519"/>
      <c r="AP23" s="520">
        <v>0</v>
      </c>
      <c r="AQ23" s="521"/>
      <c r="AR23" s="53"/>
      <c r="AS23" s="518"/>
      <c r="AT23" s="519"/>
      <c r="AU23" s="520">
        <v>0</v>
      </c>
      <c r="AV23" s="521"/>
      <c r="AW23" s="53"/>
      <c r="AX23" s="518"/>
      <c r="AY23" s="519"/>
      <c r="AZ23" s="520">
        <v>0</v>
      </c>
      <c r="BA23" s="521"/>
      <c r="BB23" s="53"/>
      <c r="BC23" s="518"/>
      <c r="BD23" s="519"/>
      <c r="BE23" s="520">
        <v>0</v>
      </c>
      <c r="BF23" s="521"/>
      <c r="BG23" s="53"/>
      <c r="BH23" s="518"/>
      <c r="BI23" s="519"/>
      <c r="BJ23" s="520">
        <v>0</v>
      </c>
      <c r="BK23" s="521"/>
      <c r="BL23" s="53"/>
      <c r="BM23" s="518"/>
      <c r="BN23" s="519"/>
      <c r="BO23" s="520">
        <v>0</v>
      </c>
      <c r="BP23" s="521"/>
      <c r="BQ23" s="53"/>
      <c r="BR23" s="518"/>
      <c r="BS23" s="519"/>
      <c r="BT23" s="520">
        <f>SUM(L23:BO23)</f>
        <v>0</v>
      </c>
      <c r="BU23" s="521"/>
      <c r="BV23" s="53"/>
      <c r="BW23" s="465"/>
    </row>
    <row r="24" spans="1:78" hidden="1" x14ac:dyDescent="0.2">
      <c r="A24" s="377"/>
      <c r="B24" s="377"/>
      <c r="C24" s="377"/>
      <c r="D24" s="465" t="s">
        <v>380</v>
      </c>
      <c r="E24" s="417"/>
      <c r="F24" s="417"/>
      <c r="G24" s="53">
        <v>0</v>
      </c>
      <c r="H24" s="52"/>
      <c r="I24" s="53"/>
      <c r="J24" s="518"/>
      <c r="K24" s="518"/>
      <c r="L24" s="53">
        <v>0</v>
      </c>
      <c r="M24" s="52"/>
      <c r="N24" s="53"/>
      <c r="O24" s="518"/>
      <c r="P24" s="518"/>
      <c r="Q24" s="53">
        <v>0</v>
      </c>
      <c r="R24" s="52"/>
      <c r="S24" s="53"/>
      <c r="T24" s="518"/>
      <c r="U24" s="518"/>
      <c r="V24" s="53">
        <v>0</v>
      </c>
      <c r="W24" s="52"/>
      <c r="X24" s="53"/>
      <c r="Y24" s="518"/>
      <c r="Z24" s="518"/>
      <c r="AA24" s="53">
        <v>0</v>
      </c>
      <c r="AB24" s="52"/>
      <c r="AC24" s="53"/>
      <c r="AD24" s="518"/>
      <c r="AE24" s="518"/>
      <c r="AF24" s="53">
        <v>0</v>
      </c>
      <c r="AG24" s="52"/>
      <c r="AH24" s="53"/>
      <c r="AI24" s="518"/>
      <c r="AJ24" s="518"/>
      <c r="AK24" s="53">
        <v>0</v>
      </c>
      <c r="AL24" s="52"/>
      <c r="AM24" s="53"/>
      <c r="AN24" s="518"/>
      <c r="AO24" s="518"/>
      <c r="AP24" s="53">
        <v>0</v>
      </c>
      <c r="AQ24" s="52"/>
      <c r="AR24" s="53"/>
      <c r="AS24" s="518"/>
      <c r="AT24" s="518"/>
      <c r="AU24" s="53">
        <v>0</v>
      </c>
      <c r="AV24" s="52"/>
      <c r="AW24" s="53"/>
      <c r="AX24" s="518"/>
      <c r="AY24" s="518"/>
      <c r="AZ24" s="53">
        <v>0</v>
      </c>
      <c r="BA24" s="52"/>
      <c r="BB24" s="53"/>
      <c r="BC24" s="518"/>
      <c r="BD24" s="518"/>
      <c r="BE24" s="53">
        <v>0</v>
      </c>
      <c r="BF24" s="52"/>
      <c r="BG24" s="53"/>
      <c r="BH24" s="518"/>
      <c r="BI24" s="518"/>
      <c r="BJ24" s="53">
        <v>0</v>
      </c>
      <c r="BK24" s="52"/>
      <c r="BL24" s="53"/>
      <c r="BM24" s="518"/>
      <c r="BN24" s="518"/>
      <c r="BO24" s="53">
        <v>0</v>
      </c>
      <c r="BP24" s="52"/>
      <c r="BQ24" s="53"/>
      <c r="BR24" s="518"/>
      <c r="BS24" s="518"/>
      <c r="BT24" s="53">
        <f>SUM(L24:BO24)</f>
        <v>0</v>
      </c>
      <c r="BU24" s="52"/>
      <c r="BV24" s="53"/>
      <c r="BW24" s="465"/>
    </row>
    <row r="25" spans="1:78" hidden="1" x14ac:dyDescent="0.2">
      <c r="A25" s="377"/>
      <c r="B25" s="377"/>
      <c r="C25" s="377"/>
      <c r="D25" s="465" t="s">
        <v>388</v>
      </c>
      <c r="E25" s="417"/>
      <c r="F25" s="478"/>
      <c r="G25" s="102">
        <v>0</v>
      </c>
      <c r="H25" s="101"/>
      <c r="I25" s="53"/>
      <c r="J25" s="518"/>
      <c r="K25" s="522"/>
      <c r="L25" s="102">
        <v>0</v>
      </c>
      <c r="M25" s="101"/>
      <c r="N25" s="53"/>
      <c r="O25" s="518"/>
      <c r="P25" s="522"/>
      <c r="Q25" s="102">
        <v>0</v>
      </c>
      <c r="R25" s="101"/>
      <c r="S25" s="53"/>
      <c r="T25" s="518"/>
      <c r="U25" s="522"/>
      <c r="V25" s="102">
        <v>0</v>
      </c>
      <c r="W25" s="101"/>
      <c r="X25" s="53"/>
      <c r="Y25" s="518"/>
      <c r="Z25" s="522"/>
      <c r="AA25" s="102">
        <v>0</v>
      </c>
      <c r="AB25" s="101"/>
      <c r="AC25" s="53"/>
      <c r="AD25" s="518"/>
      <c r="AE25" s="522"/>
      <c r="AF25" s="102">
        <v>0</v>
      </c>
      <c r="AG25" s="101"/>
      <c r="AH25" s="53"/>
      <c r="AI25" s="518"/>
      <c r="AJ25" s="522"/>
      <c r="AK25" s="102">
        <v>0</v>
      </c>
      <c r="AL25" s="101"/>
      <c r="AM25" s="53"/>
      <c r="AN25" s="518"/>
      <c r="AO25" s="522"/>
      <c r="AP25" s="102">
        <v>0</v>
      </c>
      <c r="AQ25" s="101"/>
      <c r="AR25" s="53"/>
      <c r="AS25" s="518"/>
      <c r="AT25" s="522"/>
      <c r="AU25" s="102">
        <v>0</v>
      </c>
      <c r="AV25" s="101"/>
      <c r="AW25" s="53"/>
      <c r="AX25" s="518"/>
      <c r="AY25" s="522"/>
      <c r="AZ25" s="102">
        <v>0</v>
      </c>
      <c r="BA25" s="101"/>
      <c r="BB25" s="53"/>
      <c r="BC25" s="518"/>
      <c r="BD25" s="522"/>
      <c r="BE25" s="102">
        <v>0</v>
      </c>
      <c r="BF25" s="101"/>
      <c r="BG25" s="53"/>
      <c r="BH25" s="518"/>
      <c r="BI25" s="522"/>
      <c r="BJ25" s="102">
        <v>0</v>
      </c>
      <c r="BK25" s="101"/>
      <c r="BL25" s="53"/>
      <c r="BM25" s="518"/>
      <c r="BN25" s="522"/>
      <c r="BO25" s="102">
        <v>0</v>
      </c>
      <c r="BP25" s="101"/>
      <c r="BQ25" s="53"/>
      <c r="BR25" s="518"/>
      <c r="BS25" s="522"/>
      <c r="BT25" s="102">
        <f>SUM(L25:BO25)</f>
        <v>0</v>
      </c>
      <c r="BU25" s="101"/>
      <c r="BV25" s="53"/>
      <c r="BW25" s="465"/>
    </row>
    <row r="26" spans="1:78" hidden="1" x14ac:dyDescent="0.2">
      <c r="A26" s="377"/>
      <c r="B26" s="377"/>
      <c r="C26" s="377"/>
      <c r="D26" s="465"/>
      <c r="E26" s="417"/>
      <c r="F26" s="377"/>
      <c r="G26" s="53"/>
      <c r="H26" s="53"/>
      <c r="I26" s="53"/>
      <c r="J26" s="518"/>
      <c r="K26" s="53"/>
      <c r="L26" s="53"/>
      <c r="M26" s="53"/>
      <c r="N26" s="53"/>
      <c r="O26" s="518"/>
      <c r="P26" s="53"/>
      <c r="Q26" s="53"/>
      <c r="R26" s="53"/>
      <c r="S26" s="53"/>
      <c r="T26" s="518"/>
      <c r="U26" s="53"/>
      <c r="V26" s="53"/>
      <c r="W26" s="53"/>
      <c r="X26" s="53"/>
      <c r="Y26" s="518"/>
      <c r="Z26" s="53"/>
      <c r="AA26" s="53"/>
      <c r="AB26" s="53"/>
      <c r="AC26" s="53"/>
      <c r="AD26" s="518"/>
      <c r="AE26" s="53"/>
      <c r="AF26" s="53"/>
      <c r="AG26" s="53"/>
      <c r="AH26" s="53"/>
      <c r="AI26" s="518"/>
      <c r="AJ26" s="53"/>
      <c r="AK26" s="53"/>
      <c r="AL26" s="53"/>
      <c r="AM26" s="53"/>
      <c r="AN26" s="518"/>
      <c r="AO26" s="53"/>
      <c r="AP26" s="53"/>
      <c r="AQ26" s="53"/>
      <c r="AR26" s="53"/>
      <c r="AS26" s="518"/>
      <c r="AT26" s="53"/>
      <c r="AU26" s="53"/>
      <c r="AV26" s="53"/>
      <c r="AW26" s="53"/>
      <c r="AX26" s="518"/>
      <c r="AY26" s="53"/>
      <c r="AZ26" s="53"/>
      <c r="BA26" s="53"/>
      <c r="BB26" s="53"/>
      <c r="BC26" s="518"/>
      <c r="BD26" s="53"/>
      <c r="BE26" s="53"/>
      <c r="BF26" s="53"/>
      <c r="BG26" s="53"/>
      <c r="BH26" s="518"/>
      <c r="BI26" s="53"/>
      <c r="BJ26" s="53"/>
      <c r="BK26" s="53"/>
      <c r="BL26" s="53"/>
      <c r="BM26" s="518"/>
      <c r="BN26" s="53"/>
      <c r="BO26" s="53"/>
      <c r="BP26" s="53"/>
      <c r="BQ26" s="53"/>
      <c r="BR26" s="518"/>
      <c r="BS26" s="53"/>
      <c r="BT26" s="53"/>
      <c r="BU26" s="53"/>
      <c r="BV26" s="53"/>
      <c r="BW26" s="465"/>
    </row>
    <row r="27" spans="1:78" hidden="1" x14ac:dyDescent="0.2">
      <c r="A27" s="377"/>
      <c r="B27" s="377"/>
      <c r="C27" s="377"/>
      <c r="D27" s="465" t="s">
        <v>482</v>
      </c>
      <c r="E27" s="417"/>
      <c r="F27" s="377"/>
      <c r="G27" s="53">
        <f>SUM(G28:G30)</f>
        <v>0</v>
      </c>
      <c r="H27" s="53"/>
      <c r="I27" s="53"/>
      <c r="J27" s="518"/>
      <c r="K27" s="53"/>
      <c r="L27" s="53">
        <f>L28+L30</f>
        <v>0</v>
      </c>
      <c r="M27" s="53"/>
      <c r="N27" s="53"/>
      <c r="O27" s="518"/>
      <c r="P27" s="53"/>
      <c r="Q27" s="53">
        <f>Q28+Q30</f>
        <v>0</v>
      </c>
      <c r="R27" s="53"/>
      <c r="S27" s="53"/>
      <c r="T27" s="518"/>
      <c r="U27" s="53"/>
      <c r="V27" s="53">
        <f>V28+V30</f>
        <v>0</v>
      </c>
      <c r="W27" s="53"/>
      <c r="X27" s="53"/>
      <c r="Y27" s="518"/>
      <c r="Z27" s="53"/>
      <c r="AA27" s="53">
        <f>AA28+AA30</f>
        <v>0</v>
      </c>
      <c r="AB27" s="53"/>
      <c r="AC27" s="53"/>
      <c r="AD27" s="518"/>
      <c r="AE27" s="53"/>
      <c r="AF27" s="53">
        <f>AF28+AF30</f>
        <v>0</v>
      </c>
      <c r="AG27" s="53"/>
      <c r="AH27" s="53"/>
      <c r="AI27" s="518"/>
      <c r="AJ27" s="53"/>
      <c r="AK27" s="53">
        <f>AK28+AK30</f>
        <v>0</v>
      </c>
      <c r="AL27" s="53"/>
      <c r="AM27" s="53"/>
      <c r="AN27" s="518"/>
      <c r="AO27" s="53"/>
      <c r="AP27" s="53">
        <f>AP28+AP30</f>
        <v>0</v>
      </c>
      <c r="AQ27" s="53"/>
      <c r="AR27" s="53"/>
      <c r="AS27" s="518"/>
      <c r="AT27" s="53"/>
      <c r="AU27" s="53">
        <f>AU28+AU30</f>
        <v>0</v>
      </c>
      <c r="AV27" s="53"/>
      <c r="AW27" s="53"/>
      <c r="AX27" s="518"/>
      <c r="AY27" s="53"/>
      <c r="AZ27" s="53">
        <f>AZ28+AZ30</f>
        <v>0</v>
      </c>
      <c r="BA27" s="53"/>
      <c r="BB27" s="53"/>
      <c r="BC27" s="518"/>
      <c r="BD27" s="53"/>
      <c r="BE27" s="53">
        <f>BE28+BE30</f>
        <v>0</v>
      </c>
      <c r="BF27" s="53"/>
      <c r="BG27" s="53"/>
      <c r="BH27" s="518"/>
      <c r="BI27" s="53"/>
      <c r="BJ27" s="53">
        <f>BJ28+BJ30</f>
        <v>0</v>
      </c>
      <c r="BK27" s="53"/>
      <c r="BL27" s="53"/>
      <c r="BM27" s="518"/>
      <c r="BN27" s="53"/>
      <c r="BO27" s="53">
        <f>BO28+BO30</f>
        <v>0</v>
      </c>
      <c r="BP27" s="53"/>
      <c r="BQ27" s="53"/>
      <c r="BR27" s="518"/>
      <c r="BS27" s="53"/>
      <c r="BT27" s="53">
        <f>SUM(BT28:BT30)</f>
        <v>0</v>
      </c>
      <c r="BU27" s="53"/>
      <c r="BV27" s="53"/>
      <c r="BW27" s="465"/>
    </row>
    <row r="28" spans="1:78" hidden="1" x14ac:dyDescent="0.2">
      <c r="A28" s="377"/>
      <c r="B28" s="377"/>
      <c r="C28" s="377"/>
      <c r="D28" s="465" t="s">
        <v>378</v>
      </c>
      <c r="E28" s="417"/>
      <c r="F28" s="469"/>
      <c r="G28" s="520">
        <v>0</v>
      </c>
      <c r="H28" s="521"/>
      <c r="I28" s="53"/>
      <c r="J28" s="518"/>
      <c r="K28" s="519"/>
      <c r="L28" s="520">
        <v>0</v>
      </c>
      <c r="M28" s="521"/>
      <c r="N28" s="53"/>
      <c r="O28" s="518"/>
      <c r="P28" s="519"/>
      <c r="Q28" s="520">
        <v>0</v>
      </c>
      <c r="R28" s="521"/>
      <c r="S28" s="53"/>
      <c r="T28" s="518"/>
      <c r="U28" s="519"/>
      <c r="V28" s="520">
        <v>0</v>
      </c>
      <c r="W28" s="521"/>
      <c r="X28" s="53"/>
      <c r="Y28" s="518"/>
      <c r="Z28" s="519"/>
      <c r="AA28" s="520">
        <v>0</v>
      </c>
      <c r="AB28" s="521"/>
      <c r="AC28" s="53"/>
      <c r="AD28" s="518"/>
      <c r="AE28" s="519"/>
      <c r="AF28" s="520">
        <v>0</v>
      </c>
      <c r="AG28" s="521"/>
      <c r="AH28" s="53"/>
      <c r="AI28" s="518"/>
      <c r="AJ28" s="519"/>
      <c r="AK28" s="520">
        <v>0</v>
      </c>
      <c r="AL28" s="521"/>
      <c r="AM28" s="53"/>
      <c r="AN28" s="518"/>
      <c r="AO28" s="519"/>
      <c r="AP28" s="520">
        <v>0</v>
      </c>
      <c r="AQ28" s="521"/>
      <c r="AR28" s="53"/>
      <c r="AS28" s="518"/>
      <c r="AT28" s="519"/>
      <c r="AU28" s="520">
        <v>0</v>
      </c>
      <c r="AV28" s="521"/>
      <c r="AW28" s="53"/>
      <c r="AX28" s="518"/>
      <c r="AY28" s="519"/>
      <c r="AZ28" s="520">
        <v>0</v>
      </c>
      <c r="BA28" s="521"/>
      <c r="BB28" s="53"/>
      <c r="BC28" s="518"/>
      <c r="BD28" s="519"/>
      <c r="BE28" s="520">
        <v>0</v>
      </c>
      <c r="BF28" s="521"/>
      <c r="BG28" s="53"/>
      <c r="BH28" s="518"/>
      <c r="BI28" s="519"/>
      <c r="BJ28" s="520">
        <v>0</v>
      </c>
      <c r="BK28" s="521"/>
      <c r="BL28" s="53"/>
      <c r="BM28" s="518"/>
      <c r="BN28" s="519"/>
      <c r="BO28" s="520">
        <v>0</v>
      </c>
      <c r="BP28" s="521"/>
      <c r="BQ28" s="53"/>
      <c r="BR28" s="518"/>
      <c r="BS28" s="519"/>
      <c r="BT28" s="520">
        <f>SUM(L28:BO28)</f>
        <v>0</v>
      </c>
      <c r="BU28" s="521"/>
      <c r="BV28" s="53"/>
      <c r="BW28" s="465"/>
    </row>
    <row r="29" spans="1:78" hidden="1" x14ac:dyDescent="0.2">
      <c r="A29" s="377"/>
      <c r="B29" s="377"/>
      <c r="C29" s="377"/>
      <c r="D29" s="465" t="s">
        <v>380</v>
      </c>
      <c r="E29" s="417"/>
      <c r="F29" s="417"/>
      <c r="G29" s="53">
        <v>0</v>
      </c>
      <c r="H29" s="52"/>
      <c r="I29" s="53"/>
      <c r="J29" s="518"/>
      <c r="K29" s="518"/>
      <c r="L29" s="53">
        <v>0</v>
      </c>
      <c r="M29" s="52"/>
      <c r="N29" s="53"/>
      <c r="O29" s="518"/>
      <c r="P29" s="518"/>
      <c r="Q29" s="53">
        <v>0</v>
      </c>
      <c r="R29" s="52"/>
      <c r="S29" s="53"/>
      <c r="T29" s="518"/>
      <c r="U29" s="518"/>
      <c r="V29" s="53">
        <v>0</v>
      </c>
      <c r="W29" s="52"/>
      <c r="X29" s="53"/>
      <c r="Y29" s="518"/>
      <c r="Z29" s="518"/>
      <c r="AA29" s="53">
        <v>0</v>
      </c>
      <c r="AB29" s="52"/>
      <c r="AC29" s="53"/>
      <c r="AD29" s="518"/>
      <c r="AE29" s="518"/>
      <c r="AF29" s="53">
        <v>0</v>
      </c>
      <c r="AG29" s="52"/>
      <c r="AH29" s="53"/>
      <c r="AI29" s="518"/>
      <c r="AJ29" s="518"/>
      <c r="AK29" s="53">
        <v>0</v>
      </c>
      <c r="AL29" s="52"/>
      <c r="AM29" s="53"/>
      <c r="AN29" s="518"/>
      <c r="AO29" s="518"/>
      <c r="AP29" s="53">
        <v>0</v>
      </c>
      <c r="AQ29" s="52"/>
      <c r="AR29" s="53"/>
      <c r="AS29" s="518"/>
      <c r="AT29" s="518"/>
      <c r="AU29" s="53">
        <v>0</v>
      </c>
      <c r="AV29" s="52"/>
      <c r="AW29" s="53"/>
      <c r="AX29" s="518"/>
      <c r="AY29" s="518"/>
      <c r="AZ29" s="53">
        <v>0</v>
      </c>
      <c r="BA29" s="52"/>
      <c r="BB29" s="53"/>
      <c r="BC29" s="518"/>
      <c r="BD29" s="518"/>
      <c r="BE29" s="53">
        <v>0</v>
      </c>
      <c r="BF29" s="52"/>
      <c r="BG29" s="53"/>
      <c r="BH29" s="518"/>
      <c r="BI29" s="518"/>
      <c r="BJ29" s="53">
        <v>0</v>
      </c>
      <c r="BK29" s="52"/>
      <c r="BL29" s="53"/>
      <c r="BM29" s="518"/>
      <c r="BN29" s="518"/>
      <c r="BO29" s="53">
        <v>0</v>
      </c>
      <c r="BP29" s="52"/>
      <c r="BQ29" s="53"/>
      <c r="BR29" s="518"/>
      <c r="BS29" s="518"/>
      <c r="BT29" s="53">
        <f>SUM(L29:BO29)</f>
        <v>0</v>
      </c>
      <c r="BU29" s="52"/>
      <c r="BV29" s="53"/>
      <c r="BW29" s="465"/>
    </row>
    <row r="30" spans="1:78" hidden="1" x14ac:dyDescent="0.2">
      <c r="A30" s="377"/>
      <c r="B30" s="377"/>
      <c r="C30" s="377"/>
      <c r="D30" s="465" t="s">
        <v>388</v>
      </c>
      <c r="E30" s="417"/>
      <c r="F30" s="478"/>
      <c r="G30" s="102">
        <v>0</v>
      </c>
      <c r="H30" s="101"/>
      <c r="I30" s="53"/>
      <c r="J30" s="518"/>
      <c r="K30" s="522"/>
      <c r="L30" s="102">
        <v>0</v>
      </c>
      <c r="M30" s="101"/>
      <c r="N30" s="53"/>
      <c r="O30" s="518"/>
      <c r="P30" s="522"/>
      <c r="Q30" s="102">
        <v>0</v>
      </c>
      <c r="R30" s="101"/>
      <c r="S30" s="53"/>
      <c r="T30" s="518"/>
      <c r="U30" s="522"/>
      <c r="V30" s="102">
        <v>0</v>
      </c>
      <c r="W30" s="101"/>
      <c r="X30" s="53"/>
      <c r="Y30" s="518"/>
      <c r="Z30" s="522"/>
      <c r="AA30" s="102">
        <v>0</v>
      </c>
      <c r="AB30" s="101"/>
      <c r="AC30" s="53"/>
      <c r="AD30" s="518"/>
      <c r="AE30" s="522"/>
      <c r="AF30" s="102">
        <v>0</v>
      </c>
      <c r="AG30" s="101"/>
      <c r="AH30" s="53"/>
      <c r="AI30" s="518"/>
      <c r="AJ30" s="522"/>
      <c r="AK30" s="102">
        <v>0</v>
      </c>
      <c r="AL30" s="101"/>
      <c r="AM30" s="53"/>
      <c r="AN30" s="518"/>
      <c r="AO30" s="522"/>
      <c r="AP30" s="102">
        <v>0</v>
      </c>
      <c r="AQ30" s="101"/>
      <c r="AR30" s="53"/>
      <c r="AS30" s="518"/>
      <c r="AT30" s="522"/>
      <c r="AU30" s="102">
        <v>0</v>
      </c>
      <c r="AV30" s="101"/>
      <c r="AW30" s="53"/>
      <c r="AX30" s="518"/>
      <c r="AY30" s="522"/>
      <c r="AZ30" s="102">
        <v>0</v>
      </c>
      <c r="BA30" s="101"/>
      <c r="BB30" s="53"/>
      <c r="BC30" s="518"/>
      <c r="BD30" s="522"/>
      <c r="BE30" s="102">
        <v>0</v>
      </c>
      <c r="BF30" s="101"/>
      <c r="BG30" s="53"/>
      <c r="BH30" s="518"/>
      <c r="BI30" s="522"/>
      <c r="BJ30" s="102">
        <v>0</v>
      </c>
      <c r="BK30" s="101"/>
      <c r="BL30" s="53"/>
      <c r="BM30" s="518"/>
      <c r="BN30" s="522"/>
      <c r="BO30" s="102">
        <v>0</v>
      </c>
      <c r="BP30" s="101"/>
      <c r="BQ30" s="53"/>
      <c r="BR30" s="518"/>
      <c r="BS30" s="522"/>
      <c r="BT30" s="102">
        <f>SUM(L30:BO30)</f>
        <v>0</v>
      </c>
      <c r="BU30" s="101"/>
      <c r="BV30" s="53"/>
      <c r="BW30" s="465"/>
    </row>
    <row r="31" spans="1:78" hidden="1" x14ac:dyDescent="0.2">
      <c r="A31" s="377"/>
      <c r="B31" s="377"/>
      <c r="C31" s="377"/>
      <c r="D31" s="465"/>
      <c r="E31" s="417"/>
      <c r="F31" s="377"/>
      <c r="G31" s="53"/>
      <c r="H31" s="53"/>
      <c r="I31" s="53"/>
      <c r="J31" s="518"/>
      <c r="K31" s="53"/>
      <c r="L31" s="53"/>
      <c r="M31" s="53"/>
      <c r="N31" s="53"/>
      <c r="O31" s="518"/>
      <c r="P31" s="53"/>
      <c r="Q31" s="53"/>
      <c r="R31" s="53"/>
      <c r="S31" s="53"/>
      <c r="T31" s="518"/>
      <c r="U31" s="53"/>
      <c r="V31" s="53"/>
      <c r="W31" s="53"/>
      <c r="X31" s="53"/>
      <c r="Y31" s="518"/>
      <c r="Z31" s="53"/>
      <c r="AA31" s="53"/>
      <c r="AB31" s="53"/>
      <c r="AC31" s="53"/>
      <c r="AD31" s="518"/>
      <c r="AE31" s="53"/>
      <c r="AF31" s="53"/>
      <c r="AG31" s="53"/>
      <c r="AH31" s="53"/>
      <c r="AI31" s="518"/>
      <c r="AJ31" s="53"/>
      <c r="AK31" s="53"/>
      <c r="AL31" s="53"/>
      <c r="AM31" s="53"/>
      <c r="AN31" s="518"/>
      <c r="AO31" s="53"/>
      <c r="AP31" s="53"/>
      <c r="AQ31" s="53"/>
      <c r="AR31" s="53"/>
      <c r="AS31" s="518"/>
      <c r="AT31" s="53"/>
      <c r="AU31" s="53"/>
      <c r="AV31" s="53"/>
      <c r="AW31" s="53"/>
      <c r="AX31" s="518"/>
      <c r="AY31" s="53"/>
      <c r="AZ31" s="53"/>
      <c r="BA31" s="53"/>
      <c r="BB31" s="53"/>
      <c r="BC31" s="518"/>
      <c r="BD31" s="53"/>
      <c r="BE31" s="53"/>
      <c r="BF31" s="53"/>
      <c r="BG31" s="53"/>
      <c r="BH31" s="518"/>
      <c r="BI31" s="53"/>
      <c r="BJ31" s="53"/>
      <c r="BK31" s="53"/>
      <c r="BL31" s="53"/>
      <c r="BM31" s="518"/>
      <c r="BN31" s="53"/>
      <c r="BO31" s="53"/>
      <c r="BP31" s="53"/>
      <c r="BQ31" s="53"/>
      <c r="BR31" s="518"/>
      <c r="BS31" s="53"/>
      <c r="BT31" s="53"/>
      <c r="BU31" s="53"/>
      <c r="BV31" s="53"/>
      <c r="BW31" s="465"/>
    </row>
    <row r="32" spans="1:78" hidden="1" x14ac:dyDescent="0.2">
      <c r="A32" s="377"/>
      <c r="B32" s="377"/>
      <c r="C32" s="377"/>
      <c r="D32" s="465" t="s">
        <v>483</v>
      </c>
      <c r="E32" s="417"/>
      <c r="F32" s="377"/>
      <c r="G32" s="53">
        <v>0</v>
      </c>
      <c r="H32" s="53"/>
      <c r="I32" s="53"/>
      <c r="J32" s="518"/>
      <c r="K32" s="53"/>
      <c r="L32" s="53">
        <f>L33+L35</f>
        <v>0</v>
      </c>
      <c r="M32" s="53"/>
      <c r="N32" s="53"/>
      <c r="O32" s="518"/>
      <c r="P32" s="53"/>
      <c r="Q32" s="53">
        <f>Q33+Q35</f>
        <v>0</v>
      </c>
      <c r="R32" s="53"/>
      <c r="S32" s="53"/>
      <c r="T32" s="518"/>
      <c r="U32" s="53"/>
      <c r="V32" s="53">
        <f>V33+V35</f>
        <v>0</v>
      </c>
      <c r="W32" s="53"/>
      <c r="X32" s="53"/>
      <c r="Y32" s="518"/>
      <c r="Z32" s="53"/>
      <c r="AA32" s="53">
        <f>AA33+AA35</f>
        <v>0</v>
      </c>
      <c r="AB32" s="53"/>
      <c r="AC32" s="53"/>
      <c r="AD32" s="518"/>
      <c r="AE32" s="53"/>
      <c r="AF32" s="53">
        <f>AF33+AF35</f>
        <v>0</v>
      </c>
      <c r="AG32" s="53"/>
      <c r="AH32" s="53"/>
      <c r="AI32" s="518"/>
      <c r="AJ32" s="53"/>
      <c r="AK32" s="53">
        <f>AK33+AK35</f>
        <v>0</v>
      </c>
      <c r="AL32" s="53"/>
      <c r="AM32" s="53"/>
      <c r="AN32" s="518"/>
      <c r="AO32" s="53"/>
      <c r="AP32" s="53">
        <f>AP33+AP35</f>
        <v>0</v>
      </c>
      <c r="AQ32" s="53"/>
      <c r="AR32" s="53"/>
      <c r="AS32" s="518"/>
      <c r="AT32" s="53"/>
      <c r="AU32" s="53">
        <f>AU33+AU35</f>
        <v>0</v>
      </c>
      <c r="AV32" s="53"/>
      <c r="AW32" s="53"/>
      <c r="AX32" s="518"/>
      <c r="AY32" s="53"/>
      <c r="AZ32" s="53">
        <f>AZ33+AZ35</f>
        <v>0</v>
      </c>
      <c r="BA32" s="53"/>
      <c r="BB32" s="53"/>
      <c r="BC32" s="518"/>
      <c r="BD32" s="53"/>
      <c r="BE32" s="53">
        <f>BE33+BE35</f>
        <v>0</v>
      </c>
      <c r="BF32" s="53"/>
      <c r="BG32" s="53"/>
      <c r="BH32" s="518"/>
      <c r="BI32" s="53"/>
      <c r="BJ32" s="53">
        <f>BJ33+BJ35</f>
        <v>0</v>
      </c>
      <c r="BK32" s="53"/>
      <c r="BL32" s="53"/>
      <c r="BM32" s="518"/>
      <c r="BN32" s="53"/>
      <c r="BO32" s="53">
        <f>BO33+BO35</f>
        <v>0</v>
      </c>
      <c r="BP32" s="53"/>
      <c r="BQ32" s="53"/>
      <c r="BR32" s="518"/>
      <c r="BS32" s="53"/>
      <c r="BT32" s="53">
        <f>SUM(BT33:BT35)</f>
        <v>0</v>
      </c>
      <c r="BU32" s="53"/>
      <c r="BV32" s="53"/>
      <c r="BW32" s="465"/>
    </row>
    <row r="33" spans="1:75" hidden="1" x14ac:dyDescent="0.2">
      <c r="A33" s="377"/>
      <c r="B33" s="377"/>
      <c r="C33" s="377"/>
      <c r="D33" s="465" t="s">
        <v>378</v>
      </c>
      <c r="E33" s="417"/>
      <c r="F33" s="469"/>
      <c r="G33" s="520">
        <v>0</v>
      </c>
      <c r="H33" s="521"/>
      <c r="I33" s="53"/>
      <c r="J33" s="518"/>
      <c r="K33" s="519"/>
      <c r="L33" s="520">
        <v>0</v>
      </c>
      <c r="M33" s="521"/>
      <c r="N33" s="53"/>
      <c r="O33" s="518"/>
      <c r="P33" s="519"/>
      <c r="Q33" s="520">
        <v>0</v>
      </c>
      <c r="R33" s="521"/>
      <c r="S33" s="53"/>
      <c r="T33" s="518"/>
      <c r="U33" s="519"/>
      <c r="V33" s="520">
        <v>0</v>
      </c>
      <c r="W33" s="521"/>
      <c r="X33" s="53"/>
      <c r="Y33" s="518"/>
      <c r="Z33" s="519"/>
      <c r="AA33" s="520">
        <v>0</v>
      </c>
      <c r="AB33" s="521"/>
      <c r="AC33" s="53"/>
      <c r="AD33" s="518"/>
      <c r="AE33" s="519"/>
      <c r="AF33" s="520">
        <v>0</v>
      </c>
      <c r="AG33" s="521"/>
      <c r="AH33" s="53"/>
      <c r="AI33" s="518"/>
      <c r="AJ33" s="519"/>
      <c r="AK33" s="520">
        <v>0</v>
      </c>
      <c r="AL33" s="521"/>
      <c r="AM33" s="53"/>
      <c r="AN33" s="518"/>
      <c r="AO33" s="519"/>
      <c r="AP33" s="520">
        <v>0</v>
      </c>
      <c r="AQ33" s="521"/>
      <c r="AR33" s="53"/>
      <c r="AS33" s="518"/>
      <c r="AT33" s="519"/>
      <c r="AU33" s="520">
        <v>0</v>
      </c>
      <c r="AV33" s="521"/>
      <c r="AW33" s="53"/>
      <c r="AX33" s="518"/>
      <c r="AY33" s="519"/>
      <c r="AZ33" s="520">
        <v>0</v>
      </c>
      <c r="BA33" s="521"/>
      <c r="BB33" s="53"/>
      <c r="BC33" s="518"/>
      <c r="BD33" s="519"/>
      <c r="BE33" s="520">
        <v>0</v>
      </c>
      <c r="BF33" s="521"/>
      <c r="BG33" s="53"/>
      <c r="BH33" s="518"/>
      <c r="BI33" s="519"/>
      <c r="BJ33" s="520">
        <v>0</v>
      </c>
      <c r="BK33" s="521"/>
      <c r="BL33" s="53"/>
      <c r="BM33" s="518"/>
      <c r="BN33" s="519"/>
      <c r="BO33" s="520">
        <v>0</v>
      </c>
      <c r="BP33" s="521"/>
      <c r="BQ33" s="53"/>
      <c r="BR33" s="518"/>
      <c r="BS33" s="519"/>
      <c r="BT33" s="520">
        <f>SUM(L33:BO33)</f>
        <v>0</v>
      </c>
      <c r="BU33" s="521"/>
      <c r="BV33" s="53"/>
      <c r="BW33" s="465"/>
    </row>
    <row r="34" spans="1:75" hidden="1" x14ac:dyDescent="0.2">
      <c r="A34" s="377"/>
      <c r="B34" s="377"/>
      <c r="C34" s="377"/>
      <c r="D34" s="465" t="s">
        <v>380</v>
      </c>
      <c r="E34" s="417"/>
      <c r="F34" s="417"/>
      <c r="G34" s="53">
        <v>0</v>
      </c>
      <c r="H34" s="52"/>
      <c r="I34" s="53"/>
      <c r="J34" s="518"/>
      <c r="K34" s="518"/>
      <c r="L34" s="53">
        <v>0</v>
      </c>
      <c r="M34" s="52"/>
      <c r="N34" s="53"/>
      <c r="O34" s="518"/>
      <c r="P34" s="518"/>
      <c r="Q34" s="53">
        <v>0</v>
      </c>
      <c r="R34" s="52"/>
      <c r="S34" s="53"/>
      <c r="T34" s="518"/>
      <c r="U34" s="518"/>
      <c r="V34" s="53">
        <v>0</v>
      </c>
      <c r="W34" s="52"/>
      <c r="X34" s="53"/>
      <c r="Y34" s="518"/>
      <c r="Z34" s="518"/>
      <c r="AA34" s="53">
        <v>0</v>
      </c>
      <c r="AB34" s="52"/>
      <c r="AC34" s="53"/>
      <c r="AD34" s="518"/>
      <c r="AE34" s="518"/>
      <c r="AF34" s="53">
        <v>0</v>
      </c>
      <c r="AG34" s="52"/>
      <c r="AH34" s="53"/>
      <c r="AI34" s="518"/>
      <c r="AJ34" s="518"/>
      <c r="AK34" s="53">
        <v>0</v>
      </c>
      <c r="AL34" s="52"/>
      <c r="AM34" s="53"/>
      <c r="AN34" s="518"/>
      <c r="AO34" s="518"/>
      <c r="AP34" s="53">
        <v>0</v>
      </c>
      <c r="AQ34" s="52"/>
      <c r="AR34" s="53"/>
      <c r="AS34" s="518"/>
      <c r="AT34" s="518"/>
      <c r="AU34" s="53">
        <v>0</v>
      </c>
      <c r="AV34" s="52"/>
      <c r="AW34" s="53"/>
      <c r="AX34" s="518"/>
      <c r="AY34" s="518"/>
      <c r="AZ34" s="53">
        <v>0</v>
      </c>
      <c r="BA34" s="52"/>
      <c r="BB34" s="53"/>
      <c r="BC34" s="518"/>
      <c r="BD34" s="518"/>
      <c r="BE34" s="53">
        <v>0</v>
      </c>
      <c r="BF34" s="52"/>
      <c r="BG34" s="53"/>
      <c r="BH34" s="518"/>
      <c r="BI34" s="518"/>
      <c r="BJ34" s="53">
        <v>0</v>
      </c>
      <c r="BK34" s="52"/>
      <c r="BL34" s="53"/>
      <c r="BM34" s="518"/>
      <c r="BN34" s="518"/>
      <c r="BO34" s="53">
        <v>0</v>
      </c>
      <c r="BP34" s="52"/>
      <c r="BQ34" s="53"/>
      <c r="BR34" s="518"/>
      <c r="BS34" s="518"/>
      <c r="BT34" s="53">
        <f>SUM(L34:BO34)</f>
        <v>0</v>
      </c>
      <c r="BU34" s="52"/>
      <c r="BV34" s="53"/>
      <c r="BW34" s="465"/>
    </row>
    <row r="35" spans="1:75" hidden="1" x14ac:dyDescent="0.2">
      <c r="A35" s="377"/>
      <c r="B35" s="377"/>
      <c r="C35" s="377"/>
      <c r="D35" s="465" t="s">
        <v>388</v>
      </c>
      <c r="E35" s="417"/>
      <c r="F35" s="478"/>
      <c r="G35" s="102">
        <v>0</v>
      </c>
      <c r="H35" s="101"/>
      <c r="I35" s="53"/>
      <c r="J35" s="518"/>
      <c r="K35" s="522"/>
      <c r="L35" s="102">
        <v>0</v>
      </c>
      <c r="M35" s="101"/>
      <c r="N35" s="53"/>
      <c r="O35" s="518"/>
      <c r="P35" s="522"/>
      <c r="Q35" s="102">
        <v>0</v>
      </c>
      <c r="R35" s="101"/>
      <c r="S35" s="53"/>
      <c r="T35" s="518"/>
      <c r="U35" s="522"/>
      <c r="V35" s="102">
        <v>0</v>
      </c>
      <c r="W35" s="101"/>
      <c r="X35" s="53"/>
      <c r="Y35" s="518"/>
      <c r="Z35" s="522"/>
      <c r="AA35" s="102">
        <v>0</v>
      </c>
      <c r="AB35" s="101"/>
      <c r="AC35" s="53"/>
      <c r="AD35" s="518"/>
      <c r="AE35" s="522"/>
      <c r="AF35" s="102">
        <v>0</v>
      </c>
      <c r="AG35" s="101"/>
      <c r="AH35" s="53"/>
      <c r="AI35" s="518"/>
      <c r="AJ35" s="522"/>
      <c r="AK35" s="102">
        <v>0</v>
      </c>
      <c r="AL35" s="101"/>
      <c r="AM35" s="53"/>
      <c r="AN35" s="518"/>
      <c r="AO35" s="522"/>
      <c r="AP35" s="102">
        <v>0</v>
      </c>
      <c r="AQ35" s="101"/>
      <c r="AR35" s="53"/>
      <c r="AS35" s="518"/>
      <c r="AT35" s="522"/>
      <c r="AU35" s="102">
        <v>0</v>
      </c>
      <c r="AV35" s="101"/>
      <c r="AW35" s="53"/>
      <c r="AX35" s="518"/>
      <c r="AY35" s="522"/>
      <c r="AZ35" s="102">
        <v>0</v>
      </c>
      <c r="BA35" s="101"/>
      <c r="BB35" s="53"/>
      <c r="BC35" s="518"/>
      <c r="BD35" s="522"/>
      <c r="BE35" s="102">
        <v>0</v>
      </c>
      <c r="BF35" s="101"/>
      <c r="BG35" s="53"/>
      <c r="BH35" s="518"/>
      <c r="BI35" s="522"/>
      <c r="BJ35" s="102">
        <v>0</v>
      </c>
      <c r="BK35" s="101"/>
      <c r="BL35" s="53"/>
      <c r="BM35" s="518"/>
      <c r="BN35" s="522"/>
      <c r="BO35" s="102">
        <v>0</v>
      </c>
      <c r="BP35" s="101"/>
      <c r="BQ35" s="53"/>
      <c r="BR35" s="518"/>
      <c r="BS35" s="522"/>
      <c r="BT35" s="102">
        <f>SUM(L35:BO35)</f>
        <v>0</v>
      </c>
      <c r="BU35" s="101"/>
      <c r="BV35" s="53"/>
      <c r="BW35" s="465"/>
    </row>
    <row r="36" spans="1:75" hidden="1" x14ac:dyDescent="0.2">
      <c r="A36" s="377"/>
      <c r="B36" s="377"/>
      <c r="C36" s="377"/>
      <c r="D36" s="465"/>
      <c r="E36" s="417"/>
      <c r="F36" s="377"/>
      <c r="G36" s="53"/>
      <c r="H36" s="53"/>
      <c r="I36" s="53"/>
      <c r="J36" s="518"/>
      <c r="K36" s="53"/>
      <c r="L36" s="53"/>
      <c r="M36" s="53"/>
      <c r="N36" s="53"/>
      <c r="O36" s="518"/>
      <c r="P36" s="53"/>
      <c r="Q36" s="53"/>
      <c r="R36" s="53"/>
      <c r="S36" s="53"/>
      <c r="T36" s="518"/>
      <c r="U36" s="53"/>
      <c r="V36" s="53"/>
      <c r="W36" s="53"/>
      <c r="X36" s="53"/>
      <c r="Y36" s="518"/>
      <c r="Z36" s="53"/>
      <c r="AA36" s="53"/>
      <c r="AB36" s="53"/>
      <c r="AC36" s="53"/>
      <c r="AD36" s="518"/>
      <c r="AE36" s="53"/>
      <c r="AF36" s="53"/>
      <c r="AG36" s="53"/>
      <c r="AH36" s="53"/>
      <c r="AI36" s="518"/>
      <c r="AJ36" s="53"/>
      <c r="AK36" s="53"/>
      <c r="AL36" s="53"/>
      <c r="AM36" s="53"/>
      <c r="AN36" s="518"/>
      <c r="AO36" s="53"/>
      <c r="AP36" s="53"/>
      <c r="AQ36" s="53"/>
      <c r="AR36" s="53"/>
      <c r="AS36" s="518"/>
      <c r="AT36" s="53"/>
      <c r="AU36" s="53"/>
      <c r="AV36" s="53"/>
      <c r="AW36" s="53"/>
      <c r="AX36" s="518"/>
      <c r="AY36" s="53"/>
      <c r="AZ36" s="53"/>
      <c r="BA36" s="53"/>
      <c r="BB36" s="53"/>
      <c r="BC36" s="518"/>
      <c r="BD36" s="53"/>
      <c r="BE36" s="53"/>
      <c r="BF36" s="53"/>
      <c r="BG36" s="53"/>
      <c r="BH36" s="518"/>
      <c r="BI36" s="53"/>
      <c r="BJ36" s="53"/>
      <c r="BK36" s="53"/>
      <c r="BL36" s="53"/>
      <c r="BM36" s="518"/>
      <c r="BN36" s="53"/>
      <c r="BO36" s="53"/>
      <c r="BP36" s="53"/>
      <c r="BQ36" s="53"/>
      <c r="BR36" s="518"/>
      <c r="BS36" s="53"/>
      <c r="BT36" s="53"/>
      <c r="BU36" s="53"/>
      <c r="BV36" s="53"/>
      <c r="BW36" s="465"/>
    </row>
    <row r="37" spans="1:75" x14ac:dyDescent="0.2">
      <c r="A37" s="377"/>
      <c r="B37" s="377"/>
      <c r="C37" s="377"/>
      <c r="D37" s="465" t="s">
        <v>484</v>
      </c>
      <c r="E37" s="417"/>
      <c r="F37" s="377"/>
      <c r="G37" s="53">
        <v>0</v>
      </c>
      <c r="H37" s="53"/>
      <c r="I37" s="53"/>
      <c r="J37" s="518"/>
      <c r="K37" s="53"/>
      <c r="L37" s="53">
        <f>L38+L40</f>
        <v>0</v>
      </c>
      <c r="M37" s="53"/>
      <c r="N37" s="53"/>
      <c r="O37" s="518"/>
      <c r="P37" s="53"/>
      <c r="Q37" s="53">
        <f>SUM(Q38:Q40)</f>
        <v>0</v>
      </c>
      <c r="R37" s="53"/>
      <c r="S37" s="53"/>
      <c r="T37" s="518"/>
      <c r="U37" s="53"/>
      <c r="V37" s="53">
        <f>V38+V40</f>
        <v>0</v>
      </c>
      <c r="W37" s="53"/>
      <c r="X37" s="53"/>
      <c r="Y37" s="518"/>
      <c r="Z37" s="53"/>
      <c r="AA37" s="53">
        <f>AA38+AA40</f>
        <v>16390000</v>
      </c>
      <c r="AB37" s="53"/>
      <c r="AC37" s="53"/>
      <c r="AD37" s="518"/>
      <c r="AE37" s="53"/>
      <c r="AF37" s="53">
        <f>AF38+AF40</f>
        <v>0</v>
      </c>
      <c r="AG37" s="53"/>
      <c r="AH37" s="53"/>
      <c r="AI37" s="518"/>
      <c r="AJ37" s="53"/>
      <c r="AK37" s="53">
        <f>AK38+AK40</f>
        <v>0</v>
      </c>
      <c r="AL37" s="53"/>
      <c r="AM37" s="53"/>
      <c r="AN37" s="518"/>
      <c r="AO37" s="53"/>
      <c r="AP37" s="53">
        <f>AP38+AP40</f>
        <v>0</v>
      </c>
      <c r="AQ37" s="53"/>
      <c r="AR37" s="53"/>
      <c r="AS37" s="518"/>
      <c r="AT37" s="53"/>
      <c r="AU37" s="53">
        <f>AU38+AU40</f>
        <v>0</v>
      </c>
      <c r="AV37" s="53"/>
      <c r="AW37" s="53"/>
      <c r="AX37" s="518"/>
      <c r="AY37" s="53"/>
      <c r="AZ37" s="53">
        <f>AZ38+AZ40</f>
        <v>0</v>
      </c>
      <c r="BA37" s="53"/>
      <c r="BB37" s="53"/>
      <c r="BC37" s="518"/>
      <c r="BD37" s="53"/>
      <c r="BE37" s="53">
        <f>BE38+BE40</f>
        <v>0</v>
      </c>
      <c r="BF37" s="53"/>
      <c r="BG37" s="53"/>
      <c r="BH37" s="518"/>
      <c r="BI37" s="53"/>
      <c r="BJ37" s="53">
        <f>BJ38+BJ40</f>
        <v>0</v>
      </c>
      <c r="BK37" s="53"/>
      <c r="BL37" s="53"/>
      <c r="BM37" s="518"/>
      <c r="BN37" s="53"/>
      <c r="BO37" s="53">
        <f>BO38+BO40</f>
        <v>0</v>
      </c>
      <c r="BP37" s="53"/>
      <c r="BQ37" s="53"/>
      <c r="BR37" s="518"/>
      <c r="BS37" s="53"/>
      <c r="BT37" s="53">
        <f>SUM(BT38:BT40)</f>
        <v>16390000</v>
      </c>
      <c r="BU37" s="53"/>
      <c r="BV37" s="53"/>
      <c r="BW37" s="465"/>
    </row>
    <row r="38" spans="1:75" x14ac:dyDescent="0.2">
      <c r="A38" s="377"/>
      <c r="B38" s="377"/>
      <c r="C38" s="377"/>
      <c r="D38" s="465" t="s">
        <v>378</v>
      </c>
      <c r="E38" s="417"/>
      <c r="F38" s="469"/>
      <c r="G38" s="520">
        <v>0</v>
      </c>
      <c r="H38" s="521"/>
      <c r="I38" s="53"/>
      <c r="J38" s="518"/>
      <c r="K38" s="519"/>
      <c r="L38" s="520">
        <v>0</v>
      </c>
      <c r="M38" s="521"/>
      <c r="N38" s="53"/>
      <c r="O38" s="518"/>
      <c r="P38" s="519"/>
      <c r="Q38" s="520">
        <v>0</v>
      </c>
      <c r="R38" s="521"/>
      <c r="S38" s="53"/>
      <c r="T38" s="518"/>
      <c r="U38" s="519"/>
      <c r="V38" s="520">
        <v>0</v>
      </c>
      <c r="W38" s="521"/>
      <c r="X38" s="53"/>
      <c r="Y38" s="518"/>
      <c r="Z38" s="519"/>
      <c r="AA38" s="520">
        <v>16390000</v>
      </c>
      <c r="AB38" s="521"/>
      <c r="AC38" s="53"/>
      <c r="AD38" s="518"/>
      <c r="AE38" s="519"/>
      <c r="AF38" s="520">
        <v>0</v>
      </c>
      <c r="AG38" s="521"/>
      <c r="AH38" s="53"/>
      <c r="AI38" s="518"/>
      <c r="AJ38" s="519"/>
      <c r="AK38" s="520">
        <v>0</v>
      </c>
      <c r="AL38" s="521"/>
      <c r="AM38" s="53"/>
      <c r="AN38" s="518"/>
      <c r="AO38" s="519"/>
      <c r="AP38" s="520">
        <v>0</v>
      </c>
      <c r="AQ38" s="521"/>
      <c r="AR38" s="53"/>
      <c r="AS38" s="518"/>
      <c r="AT38" s="519"/>
      <c r="AU38" s="520">
        <v>0</v>
      </c>
      <c r="AV38" s="521"/>
      <c r="AW38" s="53"/>
      <c r="AX38" s="518"/>
      <c r="AY38" s="519"/>
      <c r="AZ38" s="520">
        <v>0</v>
      </c>
      <c r="BA38" s="521"/>
      <c r="BB38" s="53"/>
      <c r="BC38" s="518"/>
      <c r="BD38" s="519"/>
      <c r="BE38" s="520">
        <v>0</v>
      </c>
      <c r="BF38" s="521"/>
      <c r="BG38" s="53"/>
      <c r="BH38" s="518"/>
      <c r="BI38" s="519"/>
      <c r="BJ38" s="520">
        <v>0</v>
      </c>
      <c r="BK38" s="521"/>
      <c r="BL38" s="53"/>
      <c r="BM38" s="518"/>
      <c r="BN38" s="519"/>
      <c r="BO38" s="520">
        <v>0</v>
      </c>
      <c r="BP38" s="521"/>
      <c r="BQ38" s="53"/>
      <c r="BR38" s="518"/>
      <c r="BS38" s="519"/>
      <c r="BT38" s="520">
        <f>SUM(L38:BO38)</f>
        <v>16390000</v>
      </c>
      <c r="BU38" s="521"/>
      <c r="BV38" s="53"/>
      <c r="BW38" s="465"/>
    </row>
    <row r="39" spans="1:75" x14ac:dyDescent="0.2">
      <c r="A39" s="377"/>
      <c r="B39" s="377"/>
      <c r="C39" s="377"/>
      <c r="D39" s="465" t="s">
        <v>380</v>
      </c>
      <c r="E39" s="417"/>
      <c r="F39" s="417"/>
      <c r="G39" s="53">
        <v>0</v>
      </c>
      <c r="H39" s="52"/>
      <c r="I39" s="53"/>
      <c r="J39" s="518"/>
      <c r="K39" s="518"/>
      <c r="L39" s="53">
        <v>0</v>
      </c>
      <c r="M39" s="52"/>
      <c r="N39" s="53"/>
      <c r="O39" s="518"/>
      <c r="P39" s="518"/>
      <c r="Q39" s="53">
        <v>0</v>
      </c>
      <c r="R39" s="52"/>
      <c r="S39" s="53"/>
      <c r="T39" s="518"/>
      <c r="U39" s="518"/>
      <c r="V39" s="53">
        <v>0</v>
      </c>
      <c r="W39" s="52"/>
      <c r="X39" s="53"/>
      <c r="Y39" s="518"/>
      <c r="Z39" s="518"/>
      <c r="AA39" s="53">
        <v>0</v>
      </c>
      <c r="AB39" s="52"/>
      <c r="AC39" s="53"/>
      <c r="AD39" s="518"/>
      <c r="AE39" s="518"/>
      <c r="AF39" s="53">
        <v>0</v>
      </c>
      <c r="AG39" s="52"/>
      <c r="AH39" s="53"/>
      <c r="AI39" s="518"/>
      <c r="AJ39" s="518"/>
      <c r="AK39" s="53">
        <v>0</v>
      </c>
      <c r="AL39" s="52"/>
      <c r="AM39" s="53"/>
      <c r="AN39" s="518"/>
      <c r="AO39" s="518"/>
      <c r="AP39" s="53">
        <v>0</v>
      </c>
      <c r="AQ39" s="52"/>
      <c r="AR39" s="53"/>
      <c r="AS39" s="518"/>
      <c r="AT39" s="518"/>
      <c r="AU39" s="53">
        <v>0</v>
      </c>
      <c r="AV39" s="52"/>
      <c r="AW39" s="53"/>
      <c r="AX39" s="518"/>
      <c r="AY39" s="518"/>
      <c r="AZ39" s="53">
        <v>0</v>
      </c>
      <c r="BA39" s="52"/>
      <c r="BB39" s="53"/>
      <c r="BC39" s="518"/>
      <c r="BD39" s="518"/>
      <c r="BE39" s="53">
        <v>0</v>
      </c>
      <c r="BF39" s="52"/>
      <c r="BG39" s="53"/>
      <c r="BH39" s="518"/>
      <c r="BI39" s="518"/>
      <c r="BJ39" s="53">
        <v>0</v>
      </c>
      <c r="BK39" s="52"/>
      <c r="BL39" s="53"/>
      <c r="BM39" s="518"/>
      <c r="BN39" s="518"/>
      <c r="BO39" s="53">
        <v>0</v>
      </c>
      <c r="BP39" s="52"/>
      <c r="BQ39" s="53"/>
      <c r="BR39" s="518"/>
      <c r="BS39" s="518"/>
      <c r="BT39" s="53">
        <f>SUM(L39:BO39)</f>
        <v>0</v>
      </c>
      <c r="BU39" s="52"/>
      <c r="BV39" s="53"/>
      <c r="BW39" s="465"/>
    </row>
    <row r="40" spans="1:75" x14ac:dyDescent="0.2">
      <c r="A40" s="377"/>
      <c r="B40" s="377"/>
      <c r="C40" s="377"/>
      <c r="D40" s="465" t="s">
        <v>388</v>
      </c>
      <c r="E40" s="417"/>
      <c r="F40" s="478"/>
      <c r="G40" s="102">
        <v>0</v>
      </c>
      <c r="H40" s="101"/>
      <c r="I40" s="53"/>
      <c r="J40" s="518"/>
      <c r="K40" s="522"/>
      <c r="L40" s="102">
        <v>0</v>
      </c>
      <c r="M40" s="101"/>
      <c r="N40" s="53"/>
      <c r="O40" s="518"/>
      <c r="P40" s="522"/>
      <c r="Q40" s="102">
        <v>0</v>
      </c>
      <c r="R40" s="101"/>
      <c r="S40" s="53"/>
      <c r="T40" s="518"/>
      <c r="U40" s="522"/>
      <c r="V40" s="102">
        <v>0</v>
      </c>
      <c r="W40" s="101"/>
      <c r="X40" s="53"/>
      <c r="Y40" s="518"/>
      <c r="Z40" s="522"/>
      <c r="AA40" s="102">
        <v>0</v>
      </c>
      <c r="AB40" s="101"/>
      <c r="AC40" s="53"/>
      <c r="AD40" s="518"/>
      <c r="AE40" s="522"/>
      <c r="AF40" s="102">
        <v>0</v>
      </c>
      <c r="AG40" s="101"/>
      <c r="AH40" s="53"/>
      <c r="AI40" s="518"/>
      <c r="AJ40" s="522"/>
      <c r="AK40" s="102">
        <v>0</v>
      </c>
      <c r="AL40" s="101"/>
      <c r="AM40" s="53"/>
      <c r="AN40" s="518"/>
      <c r="AO40" s="522"/>
      <c r="AP40" s="102">
        <v>0</v>
      </c>
      <c r="AQ40" s="101"/>
      <c r="AR40" s="53"/>
      <c r="AS40" s="518"/>
      <c r="AT40" s="522"/>
      <c r="AU40" s="102">
        <v>0</v>
      </c>
      <c r="AV40" s="101"/>
      <c r="AW40" s="53"/>
      <c r="AX40" s="518"/>
      <c r="AY40" s="522"/>
      <c r="AZ40" s="102">
        <v>0</v>
      </c>
      <c r="BA40" s="101"/>
      <c r="BB40" s="53"/>
      <c r="BC40" s="518"/>
      <c r="BD40" s="522"/>
      <c r="BE40" s="102">
        <v>0</v>
      </c>
      <c r="BF40" s="101"/>
      <c r="BG40" s="53"/>
      <c r="BH40" s="518"/>
      <c r="BI40" s="522"/>
      <c r="BJ40" s="102">
        <v>0</v>
      </c>
      <c r="BK40" s="101"/>
      <c r="BL40" s="53"/>
      <c r="BM40" s="518"/>
      <c r="BN40" s="522"/>
      <c r="BO40" s="102">
        <v>0</v>
      </c>
      <c r="BP40" s="101"/>
      <c r="BQ40" s="53"/>
      <c r="BR40" s="518"/>
      <c r="BS40" s="522"/>
      <c r="BT40" s="102">
        <f>SUM(L40:BO40)</f>
        <v>0</v>
      </c>
      <c r="BU40" s="101"/>
      <c r="BV40" s="53"/>
      <c r="BW40" s="465"/>
    </row>
    <row r="41" spans="1:75" ht="12.75" customHeight="1" x14ac:dyDescent="0.2">
      <c r="A41" s="377"/>
      <c r="B41" s="377"/>
      <c r="C41" s="377"/>
      <c r="D41" s="524"/>
      <c r="E41" s="525"/>
      <c r="F41" s="526"/>
      <c r="G41" s="53"/>
      <c r="H41" s="53"/>
      <c r="I41" s="53"/>
      <c r="J41" s="518"/>
      <c r="K41" s="53"/>
      <c r="L41" s="53"/>
      <c r="M41" s="53"/>
      <c r="N41" s="53"/>
      <c r="O41" s="518"/>
      <c r="P41" s="53"/>
      <c r="Q41" s="53"/>
      <c r="R41" s="53"/>
      <c r="S41" s="53"/>
      <c r="T41" s="518"/>
      <c r="U41" s="53"/>
      <c r="V41" s="53"/>
      <c r="W41" s="53"/>
      <c r="X41" s="53"/>
      <c r="Y41" s="518"/>
      <c r="Z41" s="53"/>
      <c r="AA41" s="53"/>
      <c r="AB41" s="53"/>
      <c r="AC41" s="53"/>
      <c r="AD41" s="518"/>
      <c r="AE41" s="53"/>
      <c r="AF41" s="53"/>
      <c r="AG41" s="53"/>
      <c r="AH41" s="53"/>
      <c r="AI41" s="518"/>
      <c r="AJ41" s="53"/>
      <c r="AK41" s="53"/>
      <c r="AL41" s="53"/>
      <c r="AM41" s="53"/>
      <c r="AN41" s="518"/>
      <c r="AO41" s="53"/>
      <c r="AP41" s="53"/>
      <c r="AQ41" s="53"/>
      <c r="AR41" s="53"/>
      <c r="AS41" s="518"/>
      <c r="AT41" s="53"/>
      <c r="AU41" s="53"/>
      <c r="AV41" s="53"/>
      <c r="AW41" s="53"/>
      <c r="AX41" s="518"/>
      <c r="AY41" s="53"/>
      <c r="AZ41" s="53"/>
      <c r="BA41" s="53"/>
      <c r="BB41" s="53"/>
      <c r="BC41" s="518"/>
      <c r="BD41" s="53"/>
      <c r="BE41" s="53"/>
      <c r="BF41" s="53"/>
      <c r="BG41" s="53"/>
      <c r="BH41" s="518"/>
      <c r="BI41" s="53"/>
      <c r="BJ41" s="53"/>
      <c r="BK41" s="53"/>
      <c r="BL41" s="53"/>
      <c r="BM41" s="518"/>
      <c r="BN41" s="53"/>
      <c r="BO41" s="53"/>
      <c r="BP41" s="53"/>
      <c r="BQ41" s="53"/>
      <c r="BR41" s="518"/>
      <c r="BS41" s="53"/>
      <c r="BT41" s="53"/>
      <c r="BU41" s="53"/>
      <c r="BV41" s="53"/>
      <c r="BW41" s="465"/>
    </row>
    <row r="42" spans="1:75" ht="12.75" customHeight="1" x14ac:dyDescent="0.2">
      <c r="A42" s="377"/>
      <c r="B42" s="377"/>
      <c r="C42" s="377"/>
      <c r="D42" s="465" t="s">
        <v>485</v>
      </c>
      <c r="E42" s="417"/>
      <c r="F42" s="377"/>
      <c r="G42" s="53">
        <v>0</v>
      </c>
      <c r="H42" s="53"/>
      <c r="I42" s="53"/>
      <c r="J42" s="518"/>
      <c r="K42" s="53"/>
      <c r="L42" s="53">
        <f>L43+L45</f>
        <v>0</v>
      </c>
      <c r="M42" s="53"/>
      <c r="N42" s="53"/>
      <c r="O42" s="518"/>
      <c r="P42" s="53"/>
      <c r="Q42" s="53">
        <f>SUM(Q43:Q45)</f>
        <v>0</v>
      </c>
      <c r="R42" s="53"/>
      <c r="S42" s="53"/>
      <c r="T42" s="518"/>
      <c r="U42" s="53"/>
      <c r="V42" s="53">
        <f>V43+V45</f>
        <v>0</v>
      </c>
      <c r="W42" s="53"/>
      <c r="X42" s="53"/>
      <c r="Y42" s="518"/>
      <c r="Z42" s="53"/>
      <c r="AA42" s="53">
        <f>AA43+AA45</f>
        <v>70521584</v>
      </c>
      <c r="AB42" s="53"/>
      <c r="AC42" s="53"/>
      <c r="AD42" s="518"/>
      <c r="AE42" s="53"/>
      <c r="AF42" s="53">
        <f>AF43+AF45</f>
        <v>0</v>
      </c>
      <c r="AG42" s="53"/>
      <c r="AH42" s="53"/>
      <c r="AI42" s="518"/>
      <c r="AJ42" s="53"/>
      <c r="AK42" s="53">
        <f>AK43+AK45</f>
        <v>0</v>
      </c>
      <c r="AL42" s="53"/>
      <c r="AM42" s="53"/>
      <c r="AN42" s="518"/>
      <c r="AO42" s="53"/>
      <c r="AP42" s="53">
        <f>AP43+AP45</f>
        <v>0</v>
      </c>
      <c r="AQ42" s="53"/>
      <c r="AR42" s="53"/>
      <c r="AS42" s="518"/>
      <c r="AT42" s="53"/>
      <c r="AU42" s="53">
        <f>AU43+AU45</f>
        <v>0</v>
      </c>
      <c r="AV42" s="53"/>
      <c r="AW42" s="53"/>
      <c r="AX42" s="518"/>
      <c r="AY42" s="53"/>
      <c r="AZ42" s="53">
        <f>AZ43+AZ45</f>
        <v>0</v>
      </c>
      <c r="BA42" s="53"/>
      <c r="BB42" s="53"/>
      <c r="BC42" s="518"/>
      <c r="BD42" s="53"/>
      <c r="BE42" s="53">
        <f>BE43+BE45</f>
        <v>0</v>
      </c>
      <c r="BF42" s="53"/>
      <c r="BG42" s="53"/>
      <c r="BH42" s="518"/>
      <c r="BI42" s="53"/>
      <c r="BJ42" s="53">
        <f>BJ43+BJ45</f>
        <v>0</v>
      </c>
      <c r="BK42" s="53"/>
      <c r="BL42" s="53"/>
      <c r="BM42" s="518"/>
      <c r="BN42" s="53"/>
      <c r="BO42" s="53">
        <f>BO43+BO45</f>
        <v>0</v>
      </c>
      <c r="BP42" s="53"/>
      <c r="BQ42" s="53"/>
      <c r="BR42" s="518"/>
      <c r="BS42" s="53"/>
      <c r="BT42" s="53">
        <f>SUM(BT43:BT45)</f>
        <v>70521584</v>
      </c>
      <c r="BU42" s="53"/>
      <c r="BV42" s="53"/>
      <c r="BW42" s="465"/>
    </row>
    <row r="43" spans="1:75" ht="12.75" customHeight="1" x14ac:dyDescent="0.2">
      <c r="A43" s="377"/>
      <c r="B43" s="377"/>
      <c r="C43" s="377"/>
      <c r="D43" s="465" t="s">
        <v>378</v>
      </c>
      <c r="E43" s="417"/>
      <c r="F43" s="469"/>
      <c r="G43" s="520">
        <v>0</v>
      </c>
      <c r="H43" s="521"/>
      <c r="I43" s="53"/>
      <c r="J43" s="518"/>
      <c r="K43" s="519"/>
      <c r="L43" s="520">
        <v>0</v>
      </c>
      <c r="M43" s="521"/>
      <c r="N43" s="53"/>
      <c r="O43" s="518"/>
      <c r="P43" s="519"/>
      <c r="Q43" s="520">
        <v>0</v>
      </c>
      <c r="R43" s="521"/>
      <c r="S43" s="53"/>
      <c r="T43" s="518"/>
      <c r="U43" s="519"/>
      <c r="V43" s="520">
        <v>0</v>
      </c>
      <c r="W43" s="521"/>
      <c r="X43" s="53"/>
      <c r="Y43" s="518"/>
      <c r="Z43" s="519"/>
      <c r="AA43" s="520">
        <v>70521584</v>
      </c>
      <c r="AB43" s="521"/>
      <c r="AC43" s="53"/>
      <c r="AD43" s="518"/>
      <c r="AE43" s="519"/>
      <c r="AF43" s="520">
        <v>0</v>
      </c>
      <c r="AG43" s="521"/>
      <c r="AH43" s="53"/>
      <c r="AI43" s="518"/>
      <c r="AJ43" s="519"/>
      <c r="AK43" s="520">
        <v>0</v>
      </c>
      <c r="AL43" s="521"/>
      <c r="AM43" s="53"/>
      <c r="AN43" s="518"/>
      <c r="AO43" s="519"/>
      <c r="AP43" s="520">
        <v>0</v>
      </c>
      <c r="AQ43" s="521"/>
      <c r="AR43" s="53"/>
      <c r="AS43" s="518"/>
      <c r="AT43" s="519"/>
      <c r="AU43" s="520">
        <v>0</v>
      </c>
      <c r="AV43" s="521"/>
      <c r="AW43" s="53"/>
      <c r="AX43" s="518"/>
      <c r="AY43" s="519"/>
      <c r="AZ43" s="520">
        <v>0</v>
      </c>
      <c r="BA43" s="521"/>
      <c r="BB43" s="53"/>
      <c r="BC43" s="518"/>
      <c r="BD43" s="519"/>
      <c r="BE43" s="520">
        <v>0</v>
      </c>
      <c r="BF43" s="521"/>
      <c r="BG43" s="53"/>
      <c r="BH43" s="518"/>
      <c r="BI43" s="519"/>
      <c r="BJ43" s="520">
        <v>0</v>
      </c>
      <c r="BK43" s="521"/>
      <c r="BL43" s="53"/>
      <c r="BM43" s="518"/>
      <c r="BN43" s="519"/>
      <c r="BO43" s="520">
        <v>0</v>
      </c>
      <c r="BP43" s="521"/>
      <c r="BQ43" s="53"/>
      <c r="BR43" s="518"/>
      <c r="BS43" s="519"/>
      <c r="BT43" s="520">
        <f>SUM(L43:BO43)</f>
        <v>70521584</v>
      </c>
      <c r="BU43" s="521"/>
      <c r="BV43" s="53"/>
      <c r="BW43" s="465"/>
    </row>
    <row r="44" spans="1:75" ht="12.75" customHeight="1" x14ac:dyDescent="0.2">
      <c r="A44" s="377"/>
      <c r="B44" s="377"/>
      <c r="C44" s="377"/>
      <c r="D44" s="465" t="s">
        <v>380</v>
      </c>
      <c r="E44" s="417"/>
      <c r="F44" s="417"/>
      <c r="G44" s="53">
        <v>0</v>
      </c>
      <c r="H44" s="52"/>
      <c r="I44" s="53"/>
      <c r="J44" s="518"/>
      <c r="K44" s="518"/>
      <c r="L44" s="53">
        <v>0</v>
      </c>
      <c r="M44" s="52"/>
      <c r="N44" s="53"/>
      <c r="O44" s="518"/>
      <c r="P44" s="518"/>
      <c r="Q44" s="53">
        <v>0</v>
      </c>
      <c r="R44" s="52"/>
      <c r="S44" s="53"/>
      <c r="T44" s="518"/>
      <c r="U44" s="518"/>
      <c r="V44" s="53">
        <v>0</v>
      </c>
      <c r="W44" s="52"/>
      <c r="X44" s="53"/>
      <c r="Y44" s="518"/>
      <c r="Z44" s="518"/>
      <c r="AA44" s="53">
        <v>0</v>
      </c>
      <c r="AB44" s="52"/>
      <c r="AC44" s="53"/>
      <c r="AD44" s="518"/>
      <c r="AE44" s="518"/>
      <c r="AF44" s="53">
        <v>0</v>
      </c>
      <c r="AG44" s="52"/>
      <c r="AH44" s="53"/>
      <c r="AI44" s="518"/>
      <c r="AJ44" s="518"/>
      <c r="AK44" s="53">
        <v>0</v>
      </c>
      <c r="AL44" s="52"/>
      <c r="AM44" s="53"/>
      <c r="AN44" s="518"/>
      <c r="AO44" s="518"/>
      <c r="AP44" s="53">
        <v>0</v>
      </c>
      <c r="AQ44" s="52"/>
      <c r="AR44" s="53"/>
      <c r="AS44" s="518"/>
      <c r="AT44" s="518"/>
      <c r="AU44" s="53">
        <v>0</v>
      </c>
      <c r="AV44" s="52"/>
      <c r="AW44" s="53"/>
      <c r="AX44" s="518"/>
      <c r="AY44" s="518"/>
      <c r="AZ44" s="53">
        <v>0</v>
      </c>
      <c r="BA44" s="52"/>
      <c r="BB44" s="53"/>
      <c r="BC44" s="518"/>
      <c r="BD44" s="518"/>
      <c r="BE44" s="53">
        <v>0</v>
      </c>
      <c r="BF44" s="52"/>
      <c r="BG44" s="53"/>
      <c r="BH44" s="518"/>
      <c r="BI44" s="518"/>
      <c r="BJ44" s="53">
        <v>0</v>
      </c>
      <c r="BK44" s="52"/>
      <c r="BL44" s="53"/>
      <c r="BM44" s="518"/>
      <c r="BN44" s="518"/>
      <c r="BO44" s="53">
        <v>0</v>
      </c>
      <c r="BP44" s="52"/>
      <c r="BQ44" s="53"/>
      <c r="BR44" s="518"/>
      <c r="BS44" s="518"/>
      <c r="BT44" s="53">
        <f>SUM(L44:BO44)</f>
        <v>0</v>
      </c>
      <c r="BU44" s="52"/>
      <c r="BV44" s="53"/>
      <c r="BW44" s="465"/>
    </row>
    <row r="45" spans="1:75" ht="12.75" customHeight="1" x14ac:dyDescent="0.2">
      <c r="A45" s="377"/>
      <c r="B45" s="377"/>
      <c r="C45" s="377"/>
      <c r="D45" s="465" t="s">
        <v>388</v>
      </c>
      <c r="E45" s="417"/>
      <c r="F45" s="478"/>
      <c r="G45" s="102">
        <v>0</v>
      </c>
      <c r="H45" s="101"/>
      <c r="I45" s="53"/>
      <c r="J45" s="518"/>
      <c r="K45" s="522"/>
      <c r="L45" s="102">
        <v>0</v>
      </c>
      <c r="M45" s="101"/>
      <c r="N45" s="53"/>
      <c r="O45" s="518"/>
      <c r="P45" s="522"/>
      <c r="Q45" s="102">
        <v>0</v>
      </c>
      <c r="R45" s="101"/>
      <c r="S45" s="53"/>
      <c r="T45" s="518"/>
      <c r="U45" s="522"/>
      <c r="V45" s="102">
        <v>0</v>
      </c>
      <c r="W45" s="101"/>
      <c r="X45" s="53"/>
      <c r="Y45" s="518"/>
      <c r="Z45" s="522"/>
      <c r="AA45" s="102">
        <v>0</v>
      </c>
      <c r="AB45" s="101"/>
      <c r="AC45" s="53"/>
      <c r="AD45" s="518"/>
      <c r="AE45" s="522"/>
      <c r="AF45" s="102">
        <v>0</v>
      </c>
      <c r="AG45" s="101"/>
      <c r="AH45" s="53"/>
      <c r="AI45" s="518"/>
      <c r="AJ45" s="522"/>
      <c r="AK45" s="102">
        <v>0</v>
      </c>
      <c r="AL45" s="101"/>
      <c r="AM45" s="53"/>
      <c r="AN45" s="518"/>
      <c r="AO45" s="522"/>
      <c r="AP45" s="102">
        <v>0</v>
      </c>
      <c r="AQ45" s="101"/>
      <c r="AR45" s="53"/>
      <c r="AS45" s="518"/>
      <c r="AT45" s="522"/>
      <c r="AU45" s="102">
        <v>0</v>
      </c>
      <c r="AV45" s="101"/>
      <c r="AW45" s="53"/>
      <c r="AX45" s="518"/>
      <c r="AY45" s="522"/>
      <c r="AZ45" s="102">
        <v>0</v>
      </c>
      <c r="BA45" s="101"/>
      <c r="BB45" s="53"/>
      <c r="BC45" s="518"/>
      <c r="BD45" s="522"/>
      <c r="BE45" s="102">
        <v>0</v>
      </c>
      <c r="BF45" s="101"/>
      <c r="BG45" s="53"/>
      <c r="BH45" s="518"/>
      <c r="BI45" s="522"/>
      <c r="BJ45" s="102">
        <v>0</v>
      </c>
      <c r="BK45" s="101"/>
      <c r="BL45" s="53"/>
      <c r="BM45" s="518"/>
      <c r="BN45" s="522"/>
      <c r="BO45" s="102">
        <v>0</v>
      </c>
      <c r="BP45" s="101"/>
      <c r="BQ45" s="53"/>
      <c r="BR45" s="518"/>
      <c r="BS45" s="522"/>
      <c r="BT45" s="102">
        <f>SUM(L45:BO45)</f>
        <v>0</v>
      </c>
      <c r="BU45" s="101"/>
      <c r="BV45" s="53"/>
      <c r="BW45" s="465"/>
    </row>
    <row r="46" spans="1:75" ht="12.75" hidden="1" customHeight="1" x14ac:dyDescent="0.2">
      <c r="A46" s="377"/>
      <c r="B46" s="377"/>
      <c r="C46" s="377"/>
      <c r="D46" s="524"/>
      <c r="E46" s="525"/>
      <c r="F46" s="526"/>
      <c r="G46" s="53"/>
      <c r="H46" s="53"/>
      <c r="I46" s="53"/>
      <c r="J46" s="518"/>
      <c r="K46" s="53"/>
      <c r="L46" s="53"/>
      <c r="M46" s="53"/>
      <c r="N46" s="53"/>
      <c r="O46" s="518"/>
      <c r="P46" s="53"/>
      <c r="Q46" s="53"/>
      <c r="R46" s="53"/>
      <c r="S46" s="53"/>
      <c r="T46" s="518"/>
      <c r="U46" s="53"/>
      <c r="V46" s="53"/>
      <c r="W46" s="53"/>
      <c r="X46" s="53"/>
      <c r="Y46" s="518"/>
      <c r="Z46" s="53"/>
      <c r="AA46" s="53"/>
      <c r="AB46" s="53"/>
      <c r="AC46" s="53"/>
      <c r="AD46" s="518"/>
      <c r="AE46" s="53"/>
      <c r="AF46" s="53"/>
      <c r="AG46" s="53"/>
      <c r="AH46" s="53"/>
      <c r="AI46" s="518"/>
      <c r="AJ46" s="53"/>
      <c r="AK46" s="53"/>
      <c r="AL46" s="53"/>
      <c r="AM46" s="53"/>
      <c r="AN46" s="518"/>
      <c r="AO46" s="53"/>
      <c r="AP46" s="53"/>
      <c r="AQ46" s="53"/>
      <c r="AR46" s="53"/>
      <c r="AS46" s="518"/>
      <c r="AT46" s="53"/>
      <c r="AU46" s="53"/>
      <c r="AV46" s="53"/>
      <c r="AW46" s="53"/>
      <c r="AX46" s="518"/>
      <c r="AY46" s="53"/>
      <c r="AZ46" s="53"/>
      <c r="BA46" s="53"/>
      <c r="BB46" s="53"/>
      <c r="BC46" s="518"/>
      <c r="BD46" s="53"/>
      <c r="BE46" s="53"/>
      <c r="BF46" s="53"/>
      <c r="BG46" s="53"/>
      <c r="BH46" s="518"/>
      <c r="BI46" s="53"/>
      <c r="BJ46" s="53"/>
      <c r="BK46" s="53"/>
      <c r="BL46" s="53"/>
      <c r="BM46" s="518"/>
      <c r="BN46" s="53"/>
      <c r="BO46" s="53"/>
      <c r="BP46" s="53"/>
      <c r="BQ46" s="53"/>
      <c r="BR46" s="518"/>
      <c r="BS46" s="53"/>
      <c r="BT46" s="53"/>
      <c r="BU46" s="53"/>
      <c r="BV46" s="53"/>
      <c r="BW46" s="465"/>
    </row>
    <row r="47" spans="1:75" ht="12.75" hidden="1" customHeight="1" x14ac:dyDescent="0.2">
      <c r="A47" s="377"/>
      <c r="B47" s="377"/>
      <c r="C47" s="377"/>
      <c r="D47" s="465" t="s">
        <v>486</v>
      </c>
      <c r="E47" s="417"/>
      <c r="F47" s="377"/>
      <c r="G47" s="53">
        <v>0</v>
      </c>
      <c r="H47" s="53"/>
      <c r="I47" s="53"/>
      <c r="J47" s="518"/>
      <c r="K47" s="53"/>
      <c r="L47" s="53">
        <f>L48+L50</f>
        <v>0</v>
      </c>
      <c r="M47" s="53"/>
      <c r="N47" s="53"/>
      <c r="O47" s="518"/>
      <c r="P47" s="53"/>
      <c r="Q47" s="53">
        <f>Q48+Q50</f>
        <v>0</v>
      </c>
      <c r="R47" s="53"/>
      <c r="S47" s="53"/>
      <c r="T47" s="518"/>
      <c r="U47" s="53"/>
      <c r="V47" s="53">
        <f>V48+V50</f>
        <v>0</v>
      </c>
      <c r="W47" s="53"/>
      <c r="X47" s="53"/>
      <c r="Y47" s="518"/>
      <c r="Z47" s="53"/>
      <c r="AA47" s="53">
        <f>AA48+AA50</f>
        <v>0</v>
      </c>
      <c r="AB47" s="53"/>
      <c r="AC47" s="53"/>
      <c r="AD47" s="518"/>
      <c r="AE47" s="53"/>
      <c r="AF47" s="53">
        <f>AF48+AF50</f>
        <v>0</v>
      </c>
      <c r="AG47" s="53"/>
      <c r="AH47" s="53"/>
      <c r="AI47" s="518"/>
      <c r="AJ47" s="53"/>
      <c r="AK47" s="53">
        <f>AK48+AK50</f>
        <v>0</v>
      </c>
      <c r="AL47" s="53"/>
      <c r="AM47" s="53"/>
      <c r="AN47" s="518"/>
      <c r="AO47" s="53"/>
      <c r="AP47" s="53">
        <f>AP48+AP50</f>
        <v>0</v>
      </c>
      <c r="AQ47" s="53"/>
      <c r="AR47" s="53"/>
      <c r="AS47" s="518"/>
      <c r="AT47" s="53"/>
      <c r="AU47" s="53">
        <f>AU48+AU50</f>
        <v>0</v>
      </c>
      <c r="AV47" s="53"/>
      <c r="AW47" s="53"/>
      <c r="AX47" s="518"/>
      <c r="AY47" s="53"/>
      <c r="AZ47" s="53">
        <f>AZ48+AZ50</f>
        <v>0</v>
      </c>
      <c r="BA47" s="53"/>
      <c r="BB47" s="53"/>
      <c r="BC47" s="518"/>
      <c r="BD47" s="53"/>
      <c r="BE47" s="53">
        <f>BE48+BE50</f>
        <v>0</v>
      </c>
      <c r="BF47" s="53"/>
      <c r="BG47" s="53"/>
      <c r="BH47" s="518"/>
      <c r="BI47" s="53"/>
      <c r="BJ47" s="53">
        <f>BJ48+BJ50</f>
        <v>0</v>
      </c>
      <c r="BK47" s="53"/>
      <c r="BL47" s="53"/>
      <c r="BM47" s="518"/>
      <c r="BN47" s="53"/>
      <c r="BO47" s="53">
        <f>BO48+BO50</f>
        <v>0</v>
      </c>
      <c r="BP47" s="53"/>
      <c r="BQ47" s="53"/>
      <c r="BR47" s="518"/>
      <c r="BS47" s="53"/>
      <c r="BT47" s="53">
        <f>SUM(BT48:BT50)</f>
        <v>0</v>
      </c>
      <c r="BU47" s="53"/>
      <c r="BV47" s="53"/>
      <c r="BW47" s="465"/>
    </row>
    <row r="48" spans="1:75" ht="12.75" hidden="1" customHeight="1" x14ac:dyDescent="0.2">
      <c r="A48" s="377"/>
      <c r="B48" s="377"/>
      <c r="C48" s="377"/>
      <c r="D48" s="465" t="s">
        <v>378</v>
      </c>
      <c r="E48" s="417"/>
      <c r="F48" s="469"/>
      <c r="G48" s="520">
        <v>0</v>
      </c>
      <c r="H48" s="521"/>
      <c r="I48" s="53"/>
      <c r="J48" s="518"/>
      <c r="K48" s="519"/>
      <c r="L48" s="520">
        <v>0</v>
      </c>
      <c r="M48" s="521"/>
      <c r="N48" s="53"/>
      <c r="O48" s="518"/>
      <c r="P48" s="519"/>
      <c r="Q48" s="520">
        <v>0</v>
      </c>
      <c r="R48" s="521"/>
      <c r="S48" s="53"/>
      <c r="T48" s="518"/>
      <c r="U48" s="519"/>
      <c r="V48" s="520">
        <v>0</v>
      </c>
      <c r="W48" s="521"/>
      <c r="X48" s="53"/>
      <c r="Y48" s="518"/>
      <c r="Z48" s="519"/>
      <c r="AA48" s="520">
        <v>0</v>
      </c>
      <c r="AB48" s="521"/>
      <c r="AC48" s="53"/>
      <c r="AD48" s="518"/>
      <c r="AE48" s="519"/>
      <c r="AF48" s="520">
        <v>0</v>
      </c>
      <c r="AG48" s="521"/>
      <c r="AH48" s="53"/>
      <c r="AI48" s="518"/>
      <c r="AJ48" s="519"/>
      <c r="AK48" s="520">
        <v>0</v>
      </c>
      <c r="AL48" s="521"/>
      <c r="AM48" s="53"/>
      <c r="AN48" s="518"/>
      <c r="AO48" s="519"/>
      <c r="AP48" s="520">
        <v>0</v>
      </c>
      <c r="AQ48" s="521"/>
      <c r="AR48" s="53"/>
      <c r="AS48" s="518"/>
      <c r="AT48" s="519"/>
      <c r="AU48" s="520">
        <v>0</v>
      </c>
      <c r="AV48" s="521"/>
      <c r="AW48" s="53"/>
      <c r="AX48" s="518"/>
      <c r="AY48" s="519"/>
      <c r="AZ48" s="520">
        <v>0</v>
      </c>
      <c r="BA48" s="521"/>
      <c r="BB48" s="53"/>
      <c r="BC48" s="518"/>
      <c r="BD48" s="519"/>
      <c r="BE48" s="520">
        <v>0</v>
      </c>
      <c r="BF48" s="521"/>
      <c r="BG48" s="53"/>
      <c r="BH48" s="518"/>
      <c r="BI48" s="519"/>
      <c r="BJ48" s="520">
        <v>0</v>
      </c>
      <c r="BK48" s="521"/>
      <c r="BL48" s="53"/>
      <c r="BM48" s="518"/>
      <c r="BN48" s="519"/>
      <c r="BO48" s="520">
        <v>0</v>
      </c>
      <c r="BP48" s="521"/>
      <c r="BQ48" s="53"/>
      <c r="BR48" s="518"/>
      <c r="BS48" s="519"/>
      <c r="BT48" s="520">
        <f>SUM(L48:BO48)</f>
        <v>0</v>
      </c>
      <c r="BU48" s="521"/>
      <c r="BV48" s="53"/>
      <c r="BW48" s="465"/>
    </row>
    <row r="49" spans="1:78" ht="12.75" hidden="1" customHeight="1" x14ac:dyDescent="0.2">
      <c r="A49" s="377"/>
      <c r="B49" s="377"/>
      <c r="C49" s="377"/>
      <c r="D49" s="465" t="s">
        <v>380</v>
      </c>
      <c r="E49" s="417"/>
      <c r="F49" s="417"/>
      <c r="G49" s="53">
        <v>0</v>
      </c>
      <c r="H49" s="52"/>
      <c r="I49" s="53"/>
      <c r="J49" s="518"/>
      <c r="K49" s="518"/>
      <c r="L49" s="53">
        <v>0</v>
      </c>
      <c r="M49" s="52"/>
      <c r="N49" s="53"/>
      <c r="O49" s="518"/>
      <c r="P49" s="518"/>
      <c r="Q49" s="53">
        <v>0</v>
      </c>
      <c r="R49" s="52"/>
      <c r="S49" s="53"/>
      <c r="T49" s="518"/>
      <c r="U49" s="518"/>
      <c r="V49" s="53">
        <v>0</v>
      </c>
      <c r="W49" s="52"/>
      <c r="X49" s="53"/>
      <c r="Y49" s="518"/>
      <c r="Z49" s="518"/>
      <c r="AA49" s="53">
        <v>0</v>
      </c>
      <c r="AB49" s="52"/>
      <c r="AC49" s="53"/>
      <c r="AD49" s="518"/>
      <c r="AE49" s="518"/>
      <c r="AF49" s="53">
        <v>0</v>
      </c>
      <c r="AG49" s="52"/>
      <c r="AH49" s="53"/>
      <c r="AI49" s="518"/>
      <c r="AJ49" s="518"/>
      <c r="AK49" s="53">
        <v>0</v>
      </c>
      <c r="AL49" s="52"/>
      <c r="AM49" s="53"/>
      <c r="AN49" s="518"/>
      <c r="AO49" s="518"/>
      <c r="AP49" s="53">
        <v>0</v>
      </c>
      <c r="AQ49" s="52"/>
      <c r="AR49" s="53"/>
      <c r="AS49" s="518"/>
      <c r="AT49" s="518"/>
      <c r="AU49" s="53">
        <v>0</v>
      </c>
      <c r="AV49" s="52"/>
      <c r="AW49" s="53"/>
      <c r="AX49" s="518"/>
      <c r="AY49" s="518"/>
      <c r="AZ49" s="53">
        <v>0</v>
      </c>
      <c r="BA49" s="52"/>
      <c r="BB49" s="53"/>
      <c r="BC49" s="518"/>
      <c r="BD49" s="518"/>
      <c r="BE49" s="53">
        <v>0</v>
      </c>
      <c r="BF49" s="52"/>
      <c r="BG49" s="53"/>
      <c r="BH49" s="518"/>
      <c r="BI49" s="518"/>
      <c r="BJ49" s="53">
        <v>0</v>
      </c>
      <c r="BK49" s="52"/>
      <c r="BL49" s="53"/>
      <c r="BM49" s="518"/>
      <c r="BN49" s="518"/>
      <c r="BO49" s="53">
        <v>0</v>
      </c>
      <c r="BP49" s="52"/>
      <c r="BQ49" s="53"/>
      <c r="BR49" s="518"/>
      <c r="BS49" s="518"/>
      <c r="BT49" s="53">
        <f>SUM(L49:BO49)</f>
        <v>0</v>
      </c>
      <c r="BU49" s="52"/>
      <c r="BV49" s="53"/>
      <c r="BW49" s="465"/>
    </row>
    <row r="50" spans="1:78" ht="12.75" hidden="1" customHeight="1" x14ac:dyDescent="0.2">
      <c r="A50" s="377"/>
      <c r="B50" s="377"/>
      <c r="C50" s="377"/>
      <c r="D50" s="465" t="s">
        <v>388</v>
      </c>
      <c r="E50" s="417"/>
      <c r="F50" s="478"/>
      <c r="G50" s="102">
        <v>0</v>
      </c>
      <c r="H50" s="101"/>
      <c r="I50" s="53"/>
      <c r="J50" s="518"/>
      <c r="K50" s="522"/>
      <c r="L50" s="102">
        <v>0</v>
      </c>
      <c r="M50" s="101"/>
      <c r="N50" s="53"/>
      <c r="O50" s="518"/>
      <c r="P50" s="522"/>
      <c r="Q50" s="102">
        <v>0</v>
      </c>
      <c r="R50" s="101"/>
      <c r="S50" s="53"/>
      <c r="T50" s="518"/>
      <c r="U50" s="522"/>
      <c r="V50" s="102">
        <v>0</v>
      </c>
      <c r="W50" s="101"/>
      <c r="X50" s="53"/>
      <c r="Y50" s="518"/>
      <c r="Z50" s="522"/>
      <c r="AA50" s="102">
        <v>0</v>
      </c>
      <c r="AB50" s="101"/>
      <c r="AC50" s="53"/>
      <c r="AD50" s="518"/>
      <c r="AE50" s="522"/>
      <c r="AF50" s="102">
        <v>0</v>
      </c>
      <c r="AG50" s="101"/>
      <c r="AH50" s="53"/>
      <c r="AI50" s="518"/>
      <c r="AJ50" s="522"/>
      <c r="AK50" s="102">
        <v>0</v>
      </c>
      <c r="AL50" s="101"/>
      <c r="AM50" s="53"/>
      <c r="AN50" s="518"/>
      <c r="AO50" s="522"/>
      <c r="AP50" s="102">
        <v>0</v>
      </c>
      <c r="AQ50" s="101"/>
      <c r="AR50" s="53"/>
      <c r="AS50" s="518"/>
      <c r="AT50" s="522"/>
      <c r="AU50" s="102">
        <v>0</v>
      </c>
      <c r="AV50" s="101"/>
      <c r="AW50" s="53"/>
      <c r="AX50" s="518"/>
      <c r="AY50" s="522"/>
      <c r="AZ50" s="102">
        <v>0</v>
      </c>
      <c r="BA50" s="101"/>
      <c r="BB50" s="53"/>
      <c r="BC50" s="518"/>
      <c r="BD50" s="522"/>
      <c r="BE50" s="102">
        <v>0</v>
      </c>
      <c r="BF50" s="101"/>
      <c r="BG50" s="53"/>
      <c r="BH50" s="518"/>
      <c r="BI50" s="522"/>
      <c r="BJ50" s="102">
        <v>0</v>
      </c>
      <c r="BK50" s="101"/>
      <c r="BL50" s="53"/>
      <c r="BM50" s="518"/>
      <c r="BN50" s="522"/>
      <c r="BO50" s="102">
        <v>0</v>
      </c>
      <c r="BP50" s="101"/>
      <c r="BQ50" s="53"/>
      <c r="BR50" s="518"/>
      <c r="BS50" s="522"/>
      <c r="BT50" s="102">
        <f>SUM(L50:BO50)</f>
        <v>0</v>
      </c>
      <c r="BU50" s="101"/>
      <c r="BV50" s="53"/>
      <c r="BW50" s="465"/>
    </row>
    <row r="51" spans="1:78" ht="12.75" hidden="1" customHeight="1" x14ac:dyDescent="0.2">
      <c r="A51" s="377"/>
      <c r="B51" s="377"/>
      <c r="C51" s="377"/>
      <c r="D51" s="524"/>
      <c r="E51" s="525"/>
      <c r="F51" s="526"/>
      <c r="G51" s="53"/>
      <c r="H51" s="53"/>
      <c r="I51" s="53"/>
      <c r="J51" s="518"/>
      <c r="K51" s="53"/>
      <c r="L51" s="53"/>
      <c r="M51" s="53"/>
      <c r="N51" s="53"/>
      <c r="O51" s="518"/>
      <c r="P51" s="53"/>
      <c r="Q51" s="53"/>
      <c r="R51" s="53"/>
      <c r="S51" s="53"/>
      <c r="T51" s="518"/>
      <c r="U51" s="53"/>
      <c r="V51" s="53"/>
      <c r="W51" s="53"/>
      <c r="X51" s="53"/>
      <c r="Y51" s="518"/>
      <c r="Z51" s="53"/>
      <c r="AA51" s="53"/>
      <c r="AB51" s="53"/>
      <c r="AC51" s="53"/>
      <c r="AD51" s="518"/>
      <c r="AE51" s="53"/>
      <c r="AF51" s="53"/>
      <c r="AG51" s="53"/>
      <c r="AH51" s="53"/>
      <c r="AI51" s="518"/>
      <c r="AJ51" s="53"/>
      <c r="AK51" s="53"/>
      <c r="AL51" s="53"/>
      <c r="AM51" s="53"/>
      <c r="AN51" s="518"/>
      <c r="AO51" s="53"/>
      <c r="AP51" s="53"/>
      <c r="AQ51" s="53"/>
      <c r="AR51" s="53"/>
      <c r="AS51" s="518"/>
      <c r="AT51" s="53"/>
      <c r="AU51" s="53"/>
      <c r="AV51" s="53"/>
      <c r="AW51" s="53"/>
      <c r="AX51" s="518"/>
      <c r="AY51" s="53"/>
      <c r="AZ51" s="53"/>
      <c r="BA51" s="53"/>
      <c r="BB51" s="53"/>
      <c r="BC51" s="518"/>
      <c r="BD51" s="53"/>
      <c r="BE51" s="53"/>
      <c r="BF51" s="53"/>
      <c r="BG51" s="53"/>
      <c r="BH51" s="518"/>
      <c r="BI51" s="53"/>
      <c r="BJ51" s="53"/>
      <c r="BK51" s="53"/>
      <c r="BL51" s="53"/>
      <c r="BM51" s="518"/>
      <c r="BN51" s="53"/>
      <c r="BO51" s="53"/>
      <c r="BP51" s="53"/>
      <c r="BQ51" s="53"/>
      <c r="BR51" s="518"/>
      <c r="BS51" s="53"/>
      <c r="BT51" s="53"/>
      <c r="BU51" s="53"/>
      <c r="BV51" s="53"/>
      <c r="BW51" s="465"/>
    </row>
    <row r="52" spans="1:78" ht="12.75" hidden="1" customHeight="1" x14ac:dyDescent="0.2">
      <c r="A52" s="377"/>
      <c r="B52" s="377"/>
      <c r="C52" s="377"/>
      <c r="D52" s="465" t="s">
        <v>487</v>
      </c>
      <c r="E52" s="417"/>
      <c r="F52" s="377"/>
      <c r="G52" s="53">
        <v>0</v>
      </c>
      <c r="H52" s="53"/>
      <c r="I52" s="53"/>
      <c r="J52" s="518"/>
      <c r="K52" s="53"/>
      <c r="L52" s="53">
        <f>L53+L55</f>
        <v>0</v>
      </c>
      <c r="M52" s="53"/>
      <c r="N52" s="53"/>
      <c r="O52" s="518"/>
      <c r="P52" s="53"/>
      <c r="Q52" s="53">
        <f>Q53+Q55</f>
        <v>0</v>
      </c>
      <c r="R52" s="53"/>
      <c r="S52" s="53"/>
      <c r="T52" s="518"/>
      <c r="U52" s="53"/>
      <c r="V52" s="53">
        <f>V53+V55</f>
        <v>0</v>
      </c>
      <c r="W52" s="53"/>
      <c r="X52" s="53"/>
      <c r="Y52" s="518"/>
      <c r="Z52" s="53"/>
      <c r="AA52" s="53">
        <f>AA53+AA55</f>
        <v>0</v>
      </c>
      <c r="AB52" s="53"/>
      <c r="AC52" s="53"/>
      <c r="AD52" s="518"/>
      <c r="AE52" s="53"/>
      <c r="AF52" s="53">
        <f>AF53+AF55</f>
        <v>0</v>
      </c>
      <c r="AG52" s="53"/>
      <c r="AH52" s="53"/>
      <c r="AI52" s="518"/>
      <c r="AJ52" s="53"/>
      <c r="AK52" s="53">
        <f>AK53+AK55</f>
        <v>0</v>
      </c>
      <c r="AL52" s="53"/>
      <c r="AM52" s="53"/>
      <c r="AN52" s="518"/>
      <c r="AO52" s="53"/>
      <c r="AP52" s="53">
        <f>AP53+AP55</f>
        <v>0</v>
      </c>
      <c r="AQ52" s="53"/>
      <c r="AR52" s="53"/>
      <c r="AS52" s="518"/>
      <c r="AT52" s="53"/>
      <c r="AU52" s="53">
        <f>AU53+AU55</f>
        <v>0</v>
      </c>
      <c r="AV52" s="53"/>
      <c r="AW52" s="53"/>
      <c r="AX52" s="518"/>
      <c r="AY52" s="53"/>
      <c r="AZ52" s="53">
        <f>AZ53+AZ55</f>
        <v>0</v>
      </c>
      <c r="BA52" s="53"/>
      <c r="BB52" s="53"/>
      <c r="BC52" s="518"/>
      <c r="BD52" s="53"/>
      <c r="BE52" s="53">
        <f>BE53+BE55</f>
        <v>0</v>
      </c>
      <c r="BF52" s="53"/>
      <c r="BG52" s="53"/>
      <c r="BH52" s="518"/>
      <c r="BI52" s="53"/>
      <c r="BJ52" s="53">
        <f>BJ53+BJ55</f>
        <v>0</v>
      </c>
      <c r="BK52" s="53"/>
      <c r="BL52" s="53"/>
      <c r="BM52" s="518"/>
      <c r="BN52" s="53"/>
      <c r="BO52" s="53">
        <f>BO53+BO55</f>
        <v>0</v>
      </c>
      <c r="BP52" s="53"/>
      <c r="BQ52" s="53"/>
      <c r="BR52" s="518"/>
      <c r="BS52" s="53"/>
      <c r="BT52" s="53">
        <f>SUM(BT53:BT55)</f>
        <v>0</v>
      </c>
      <c r="BU52" s="53"/>
      <c r="BV52" s="53"/>
      <c r="BW52" s="465"/>
    </row>
    <row r="53" spans="1:78" ht="12.75" hidden="1" customHeight="1" x14ac:dyDescent="0.2">
      <c r="A53" s="377"/>
      <c r="B53" s="377"/>
      <c r="C53" s="377"/>
      <c r="D53" s="465" t="s">
        <v>378</v>
      </c>
      <c r="E53" s="417"/>
      <c r="F53" s="469"/>
      <c r="G53" s="520">
        <v>0</v>
      </c>
      <c r="H53" s="521"/>
      <c r="I53" s="53"/>
      <c r="J53" s="518"/>
      <c r="K53" s="519"/>
      <c r="L53" s="520">
        <v>0</v>
      </c>
      <c r="M53" s="521"/>
      <c r="N53" s="53"/>
      <c r="O53" s="518"/>
      <c r="P53" s="519"/>
      <c r="Q53" s="520">
        <v>0</v>
      </c>
      <c r="R53" s="521"/>
      <c r="S53" s="53"/>
      <c r="T53" s="518"/>
      <c r="U53" s="519"/>
      <c r="V53" s="520">
        <v>0</v>
      </c>
      <c r="W53" s="521"/>
      <c r="X53" s="53"/>
      <c r="Y53" s="518"/>
      <c r="Z53" s="519"/>
      <c r="AA53" s="520">
        <v>0</v>
      </c>
      <c r="AB53" s="521"/>
      <c r="AC53" s="53"/>
      <c r="AD53" s="518"/>
      <c r="AE53" s="519"/>
      <c r="AF53" s="520">
        <v>0</v>
      </c>
      <c r="AG53" s="521"/>
      <c r="AH53" s="53"/>
      <c r="AI53" s="518"/>
      <c r="AJ53" s="519"/>
      <c r="AK53" s="520">
        <v>0</v>
      </c>
      <c r="AL53" s="521"/>
      <c r="AM53" s="53"/>
      <c r="AN53" s="518"/>
      <c r="AO53" s="519"/>
      <c r="AP53" s="520">
        <v>0</v>
      </c>
      <c r="AQ53" s="521"/>
      <c r="AR53" s="53"/>
      <c r="AS53" s="518"/>
      <c r="AT53" s="519"/>
      <c r="AU53" s="520">
        <v>0</v>
      </c>
      <c r="AV53" s="521"/>
      <c r="AW53" s="53"/>
      <c r="AX53" s="518"/>
      <c r="AY53" s="519"/>
      <c r="AZ53" s="520">
        <v>0</v>
      </c>
      <c r="BA53" s="521"/>
      <c r="BB53" s="53"/>
      <c r="BC53" s="518"/>
      <c r="BD53" s="519"/>
      <c r="BE53" s="520">
        <v>0</v>
      </c>
      <c r="BF53" s="521"/>
      <c r="BG53" s="53"/>
      <c r="BH53" s="518"/>
      <c r="BI53" s="519"/>
      <c r="BJ53" s="520">
        <v>0</v>
      </c>
      <c r="BK53" s="521"/>
      <c r="BL53" s="53"/>
      <c r="BM53" s="518"/>
      <c r="BN53" s="519"/>
      <c r="BO53" s="520">
        <v>0</v>
      </c>
      <c r="BP53" s="521"/>
      <c r="BQ53" s="53"/>
      <c r="BR53" s="518"/>
      <c r="BS53" s="519"/>
      <c r="BT53" s="520">
        <f>SUM(L53:BO53)</f>
        <v>0</v>
      </c>
      <c r="BU53" s="521"/>
      <c r="BV53" s="53"/>
      <c r="BW53" s="465"/>
    </row>
    <row r="54" spans="1:78" ht="12.75" hidden="1" customHeight="1" x14ac:dyDescent="0.2">
      <c r="A54" s="377"/>
      <c r="B54" s="377"/>
      <c r="C54" s="377"/>
      <c r="D54" s="465" t="s">
        <v>380</v>
      </c>
      <c r="E54" s="417"/>
      <c r="F54" s="417"/>
      <c r="G54" s="53">
        <v>0</v>
      </c>
      <c r="H54" s="52"/>
      <c r="I54" s="53"/>
      <c r="J54" s="518"/>
      <c r="K54" s="518"/>
      <c r="L54" s="53">
        <v>0</v>
      </c>
      <c r="M54" s="52"/>
      <c r="N54" s="53"/>
      <c r="O54" s="518"/>
      <c r="P54" s="518"/>
      <c r="Q54" s="53">
        <v>0</v>
      </c>
      <c r="R54" s="52"/>
      <c r="S54" s="53"/>
      <c r="T54" s="518"/>
      <c r="U54" s="518"/>
      <c r="V54" s="53">
        <v>0</v>
      </c>
      <c r="W54" s="52"/>
      <c r="X54" s="53"/>
      <c r="Y54" s="518"/>
      <c r="Z54" s="518"/>
      <c r="AA54" s="53">
        <v>0</v>
      </c>
      <c r="AB54" s="52"/>
      <c r="AC54" s="53"/>
      <c r="AD54" s="518"/>
      <c r="AE54" s="518"/>
      <c r="AF54" s="53">
        <v>0</v>
      </c>
      <c r="AG54" s="52"/>
      <c r="AH54" s="53"/>
      <c r="AI54" s="518"/>
      <c r="AJ54" s="518"/>
      <c r="AK54" s="53">
        <v>0</v>
      </c>
      <c r="AL54" s="52"/>
      <c r="AM54" s="53"/>
      <c r="AN54" s="518"/>
      <c r="AO54" s="518"/>
      <c r="AP54" s="53">
        <v>0</v>
      </c>
      <c r="AQ54" s="52"/>
      <c r="AR54" s="53"/>
      <c r="AS54" s="518"/>
      <c r="AT54" s="518"/>
      <c r="AU54" s="53">
        <v>0</v>
      </c>
      <c r="AV54" s="52"/>
      <c r="AW54" s="53"/>
      <c r="AX54" s="518"/>
      <c r="AY54" s="518"/>
      <c r="AZ54" s="53">
        <v>0</v>
      </c>
      <c r="BA54" s="52"/>
      <c r="BB54" s="53"/>
      <c r="BC54" s="518"/>
      <c r="BD54" s="518"/>
      <c r="BE54" s="53">
        <v>0</v>
      </c>
      <c r="BF54" s="52"/>
      <c r="BG54" s="53"/>
      <c r="BH54" s="518"/>
      <c r="BI54" s="518"/>
      <c r="BJ54" s="53">
        <v>0</v>
      </c>
      <c r="BK54" s="52"/>
      <c r="BL54" s="53"/>
      <c r="BM54" s="518"/>
      <c r="BN54" s="518"/>
      <c r="BO54" s="53">
        <v>0</v>
      </c>
      <c r="BP54" s="52"/>
      <c r="BQ54" s="53"/>
      <c r="BR54" s="518"/>
      <c r="BS54" s="518"/>
      <c r="BT54" s="53">
        <f>SUM(L54:BO54)</f>
        <v>0</v>
      </c>
      <c r="BU54" s="52"/>
      <c r="BV54" s="53"/>
      <c r="BW54" s="465"/>
    </row>
    <row r="55" spans="1:78" ht="12.75" hidden="1" customHeight="1" x14ac:dyDescent="0.2">
      <c r="A55" s="377"/>
      <c r="B55" s="377"/>
      <c r="C55" s="377"/>
      <c r="D55" s="465" t="s">
        <v>388</v>
      </c>
      <c r="E55" s="417"/>
      <c r="F55" s="478"/>
      <c r="G55" s="102">
        <v>0</v>
      </c>
      <c r="H55" s="101"/>
      <c r="I55" s="53"/>
      <c r="J55" s="518"/>
      <c r="K55" s="522"/>
      <c r="L55" s="102">
        <v>0</v>
      </c>
      <c r="M55" s="101"/>
      <c r="N55" s="53"/>
      <c r="O55" s="518"/>
      <c r="P55" s="522"/>
      <c r="Q55" s="102">
        <v>0</v>
      </c>
      <c r="R55" s="101"/>
      <c r="S55" s="53"/>
      <c r="T55" s="518"/>
      <c r="U55" s="522"/>
      <c r="V55" s="102">
        <v>0</v>
      </c>
      <c r="W55" s="101"/>
      <c r="X55" s="53"/>
      <c r="Y55" s="518"/>
      <c r="Z55" s="522"/>
      <c r="AA55" s="102">
        <v>0</v>
      </c>
      <c r="AB55" s="101"/>
      <c r="AC55" s="53"/>
      <c r="AD55" s="518"/>
      <c r="AE55" s="522"/>
      <c r="AF55" s="102">
        <v>0</v>
      </c>
      <c r="AG55" s="101"/>
      <c r="AH55" s="53"/>
      <c r="AI55" s="518"/>
      <c r="AJ55" s="522"/>
      <c r="AK55" s="102">
        <v>0</v>
      </c>
      <c r="AL55" s="101"/>
      <c r="AM55" s="53"/>
      <c r="AN55" s="518"/>
      <c r="AO55" s="522"/>
      <c r="AP55" s="102">
        <v>0</v>
      </c>
      <c r="AQ55" s="101"/>
      <c r="AR55" s="53"/>
      <c r="AS55" s="518"/>
      <c r="AT55" s="522"/>
      <c r="AU55" s="102">
        <v>0</v>
      </c>
      <c r="AV55" s="101"/>
      <c r="AW55" s="53"/>
      <c r="AX55" s="518"/>
      <c r="AY55" s="522"/>
      <c r="AZ55" s="102">
        <v>0</v>
      </c>
      <c r="BA55" s="101"/>
      <c r="BB55" s="53"/>
      <c r="BC55" s="518"/>
      <c r="BD55" s="522"/>
      <c r="BE55" s="102">
        <v>0</v>
      </c>
      <c r="BF55" s="101"/>
      <c r="BG55" s="53"/>
      <c r="BH55" s="518"/>
      <c r="BI55" s="522"/>
      <c r="BJ55" s="102">
        <v>0</v>
      </c>
      <c r="BK55" s="101"/>
      <c r="BL55" s="53"/>
      <c r="BM55" s="518"/>
      <c r="BN55" s="522"/>
      <c r="BO55" s="102">
        <v>0</v>
      </c>
      <c r="BP55" s="101"/>
      <c r="BQ55" s="53"/>
      <c r="BR55" s="518"/>
      <c r="BS55" s="522"/>
      <c r="BT55" s="102">
        <f>SUM(L55:BO55)</f>
        <v>0</v>
      </c>
      <c r="BU55" s="101"/>
      <c r="BV55" s="53"/>
      <c r="BW55" s="465"/>
    </row>
    <row r="56" spans="1:78" hidden="1" x14ac:dyDescent="0.2">
      <c r="A56" s="377"/>
      <c r="B56" s="377"/>
      <c r="C56" s="377"/>
      <c r="D56" s="465"/>
      <c r="E56" s="417"/>
      <c r="F56" s="377"/>
      <c r="G56" s="53"/>
      <c r="H56" s="53"/>
      <c r="I56" s="53"/>
      <c r="J56" s="518"/>
      <c r="K56" s="53"/>
      <c r="L56" s="53"/>
      <c r="M56" s="53"/>
      <c r="N56" s="53"/>
      <c r="O56" s="518"/>
      <c r="P56" s="53"/>
      <c r="Q56" s="53"/>
      <c r="R56" s="53"/>
      <c r="S56" s="53"/>
      <c r="T56" s="518"/>
      <c r="U56" s="53"/>
      <c r="V56" s="53"/>
      <c r="W56" s="53"/>
      <c r="X56" s="53"/>
      <c r="Y56" s="518"/>
      <c r="Z56" s="53"/>
      <c r="AA56" s="53"/>
      <c r="AB56" s="53"/>
      <c r="AC56" s="53"/>
      <c r="AD56" s="518"/>
      <c r="AE56" s="53"/>
      <c r="AF56" s="53"/>
      <c r="AG56" s="53"/>
      <c r="AH56" s="53"/>
      <c r="AI56" s="518"/>
      <c r="AJ56" s="53"/>
      <c r="AK56" s="53"/>
      <c r="AL56" s="53"/>
      <c r="AM56" s="53"/>
      <c r="AN56" s="518"/>
      <c r="AO56" s="53"/>
      <c r="AP56" s="53"/>
      <c r="AQ56" s="53"/>
      <c r="AR56" s="53"/>
      <c r="AS56" s="518"/>
      <c r="AT56" s="53"/>
      <c r="AU56" s="53"/>
      <c r="AV56" s="53"/>
      <c r="AW56" s="53"/>
      <c r="AX56" s="518"/>
      <c r="AY56" s="53"/>
      <c r="AZ56" s="53"/>
      <c r="BA56" s="53"/>
      <c r="BB56" s="53"/>
      <c r="BC56" s="518"/>
      <c r="BD56" s="53"/>
      <c r="BE56" s="53"/>
      <c r="BF56" s="53"/>
      <c r="BG56" s="53"/>
      <c r="BH56" s="518"/>
      <c r="BI56" s="53"/>
      <c r="BJ56" s="53"/>
      <c r="BK56" s="53"/>
      <c r="BL56" s="53"/>
      <c r="BM56" s="518"/>
      <c r="BN56" s="53"/>
      <c r="BO56" s="53"/>
      <c r="BP56" s="53"/>
      <c r="BQ56" s="53"/>
      <c r="BR56" s="518"/>
      <c r="BS56" s="53"/>
      <c r="BT56" s="53"/>
      <c r="BU56" s="53"/>
      <c r="BV56" s="53"/>
      <c r="BW56" s="465"/>
    </row>
    <row r="57" spans="1:78" hidden="1" x14ac:dyDescent="0.2">
      <c r="A57" s="377"/>
      <c r="B57" s="377"/>
      <c r="C57" s="377"/>
      <c r="D57" s="465" t="s">
        <v>488</v>
      </c>
      <c r="E57" s="417"/>
      <c r="F57" s="377"/>
      <c r="G57" s="53">
        <v>0</v>
      </c>
      <c r="H57" s="53"/>
      <c r="I57" s="53"/>
      <c r="J57" s="518"/>
      <c r="K57" s="53"/>
      <c r="L57" s="53">
        <f>SUM(L58:L61)</f>
        <v>0</v>
      </c>
      <c r="M57" s="53"/>
      <c r="N57" s="53"/>
      <c r="O57" s="518"/>
      <c r="P57" s="53"/>
      <c r="Q57" s="53">
        <f>SUM(Q58:Q61)</f>
        <v>0</v>
      </c>
      <c r="R57" s="53"/>
      <c r="S57" s="53"/>
      <c r="T57" s="518"/>
      <c r="U57" s="53"/>
      <c r="V57" s="53">
        <f>SUM(V58:V61)</f>
        <v>0</v>
      </c>
      <c r="W57" s="53"/>
      <c r="X57" s="53"/>
      <c r="Y57" s="518"/>
      <c r="Z57" s="53"/>
      <c r="AA57" s="53">
        <f>SUM(AA58:AA61)</f>
        <v>0</v>
      </c>
      <c r="AB57" s="53"/>
      <c r="AC57" s="53"/>
      <c r="AD57" s="518"/>
      <c r="AE57" s="53"/>
      <c r="AF57" s="53">
        <f>SUM(AF58:AF61)</f>
        <v>0</v>
      </c>
      <c r="AG57" s="53"/>
      <c r="AH57" s="53"/>
      <c r="AI57" s="518"/>
      <c r="AJ57" s="53"/>
      <c r="AK57" s="53">
        <f>SUM(AK58:AK61)</f>
        <v>0</v>
      </c>
      <c r="AL57" s="53"/>
      <c r="AM57" s="53"/>
      <c r="AN57" s="518"/>
      <c r="AO57" s="53"/>
      <c r="AP57" s="53">
        <f>SUM(AP58:AP61)</f>
        <v>0</v>
      </c>
      <c r="AQ57" s="53"/>
      <c r="AR57" s="53"/>
      <c r="AS57" s="518"/>
      <c r="AT57" s="53"/>
      <c r="AU57" s="53">
        <f>SUM(AU58:AU61)</f>
        <v>0</v>
      </c>
      <c r="AV57" s="53"/>
      <c r="AW57" s="53"/>
      <c r="AX57" s="518"/>
      <c r="AY57" s="53"/>
      <c r="AZ57" s="53">
        <f>SUM(AZ58:AZ61)</f>
        <v>0</v>
      </c>
      <c r="BA57" s="53"/>
      <c r="BB57" s="53"/>
      <c r="BC57" s="518"/>
      <c r="BD57" s="53"/>
      <c r="BE57" s="53">
        <f>SUM(BE58:BE61)</f>
        <v>0</v>
      </c>
      <c r="BF57" s="53"/>
      <c r="BG57" s="53"/>
      <c r="BH57" s="518"/>
      <c r="BI57" s="53"/>
      <c r="BJ57" s="53">
        <f>SUM(BJ58:BJ61)</f>
        <v>0</v>
      </c>
      <c r="BK57" s="53"/>
      <c r="BL57" s="53"/>
      <c r="BM57" s="518"/>
      <c r="BN57" s="53"/>
      <c r="BO57" s="53">
        <f>SUM(BO58:BO61)</f>
        <v>0</v>
      </c>
      <c r="BP57" s="53"/>
      <c r="BQ57" s="53"/>
      <c r="BR57" s="518"/>
      <c r="BS57" s="53"/>
      <c r="BT57" s="53">
        <f>SUM(BT58:BT61)</f>
        <v>0</v>
      </c>
      <c r="BU57" s="53"/>
      <c r="BV57" s="53"/>
      <c r="BW57" s="465"/>
    </row>
    <row r="58" spans="1:78" hidden="1" x14ac:dyDescent="0.2">
      <c r="A58" s="377"/>
      <c r="B58" s="377"/>
      <c r="C58" s="377"/>
      <c r="D58" s="465" t="s">
        <v>489</v>
      </c>
      <c r="E58" s="417"/>
      <c r="F58" s="519"/>
      <c r="G58" s="520">
        <v>0</v>
      </c>
      <c r="H58" s="521"/>
      <c r="I58" s="53"/>
      <c r="J58" s="518"/>
      <c r="K58" s="519"/>
      <c r="L58" s="520">
        <v>0</v>
      </c>
      <c r="M58" s="521"/>
      <c r="N58" s="53"/>
      <c r="O58" s="518"/>
      <c r="P58" s="519"/>
      <c r="Q58" s="520">
        <v>0</v>
      </c>
      <c r="R58" s="521"/>
      <c r="S58" s="53"/>
      <c r="T58" s="518"/>
      <c r="U58" s="519"/>
      <c r="V58" s="520">
        <v>0</v>
      </c>
      <c r="W58" s="521"/>
      <c r="X58" s="53"/>
      <c r="Y58" s="518"/>
      <c r="Z58" s="519"/>
      <c r="AA58" s="520">
        <v>0</v>
      </c>
      <c r="AB58" s="521"/>
      <c r="AC58" s="53"/>
      <c r="AD58" s="518"/>
      <c r="AE58" s="519"/>
      <c r="AF58" s="520">
        <v>0</v>
      </c>
      <c r="AG58" s="521"/>
      <c r="AH58" s="53"/>
      <c r="AI58" s="518"/>
      <c r="AJ58" s="519"/>
      <c r="AK58" s="520">
        <v>0</v>
      </c>
      <c r="AL58" s="521"/>
      <c r="AM58" s="53"/>
      <c r="AN58" s="518"/>
      <c r="AO58" s="519"/>
      <c r="AP58" s="520">
        <v>0</v>
      </c>
      <c r="AQ58" s="521"/>
      <c r="AR58" s="53"/>
      <c r="AS58" s="518"/>
      <c r="AT58" s="519"/>
      <c r="AU58" s="520">
        <v>0</v>
      </c>
      <c r="AV58" s="521"/>
      <c r="AW58" s="53"/>
      <c r="AX58" s="518"/>
      <c r="AY58" s="519"/>
      <c r="AZ58" s="520">
        <v>0</v>
      </c>
      <c r="BA58" s="521"/>
      <c r="BB58" s="53"/>
      <c r="BC58" s="518"/>
      <c r="BD58" s="519"/>
      <c r="BE58" s="520">
        <v>0</v>
      </c>
      <c r="BF58" s="521"/>
      <c r="BG58" s="53"/>
      <c r="BH58" s="518"/>
      <c r="BI58" s="519"/>
      <c r="BJ58" s="520">
        <v>0</v>
      </c>
      <c r="BK58" s="521"/>
      <c r="BL58" s="53"/>
      <c r="BM58" s="518"/>
      <c r="BN58" s="519"/>
      <c r="BO58" s="520">
        <v>0</v>
      </c>
      <c r="BP58" s="521"/>
      <c r="BQ58" s="53"/>
      <c r="BR58" s="518"/>
      <c r="BS58" s="519"/>
      <c r="BT58" s="520">
        <f>SUM(L58:BO58)</f>
        <v>0</v>
      </c>
      <c r="BU58" s="521"/>
      <c r="BV58" s="53"/>
      <c r="BW58" s="465"/>
    </row>
    <row r="59" spans="1:78" hidden="1" x14ac:dyDescent="0.2">
      <c r="A59" s="377"/>
      <c r="B59" s="377"/>
      <c r="C59" s="377"/>
      <c r="D59" s="465" t="s">
        <v>490</v>
      </c>
      <c r="E59" s="417"/>
      <c r="F59" s="518"/>
      <c r="G59" s="53">
        <v>0</v>
      </c>
      <c r="H59" s="52"/>
      <c r="I59" s="53"/>
      <c r="J59" s="518"/>
      <c r="K59" s="518"/>
      <c r="L59" s="53">
        <v>0</v>
      </c>
      <c r="M59" s="52"/>
      <c r="N59" s="53"/>
      <c r="O59" s="518"/>
      <c r="P59" s="518"/>
      <c r="Q59" s="53">
        <v>0</v>
      </c>
      <c r="R59" s="52"/>
      <c r="S59" s="53"/>
      <c r="T59" s="518"/>
      <c r="U59" s="518"/>
      <c r="V59" s="53">
        <v>0</v>
      </c>
      <c r="W59" s="52"/>
      <c r="X59" s="53"/>
      <c r="Y59" s="518"/>
      <c r="Z59" s="518"/>
      <c r="AA59" s="53">
        <v>0</v>
      </c>
      <c r="AB59" s="52"/>
      <c r="AC59" s="53"/>
      <c r="AD59" s="518"/>
      <c r="AE59" s="518"/>
      <c r="AF59" s="53">
        <v>0</v>
      </c>
      <c r="AG59" s="52"/>
      <c r="AH59" s="53"/>
      <c r="AI59" s="518"/>
      <c r="AJ59" s="518"/>
      <c r="AK59" s="53">
        <v>0</v>
      </c>
      <c r="AL59" s="52"/>
      <c r="AM59" s="53"/>
      <c r="AN59" s="518"/>
      <c r="AO59" s="518"/>
      <c r="AP59" s="53">
        <v>0</v>
      </c>
      <c r="AQ59" s="52"/>
      <c r="AR59" s="53"/>
      <c r="AS59" s="518"/>
      <c r="AT59" s="518"/>
      <c r="AU59" s="53">
        <v>0</v>
      </c>
      <c r="AV59" s="52"/>
      <c r="AW59" s="53"/>
      <c r="AX59" s="518"/>
      <c r="AY59" s="518"/>
      <c r="AZ59" s="53">
        <v>0</v>
      </c>
      <c r="BA59" s="52"/>
      <c r="BB59" s="53"/>
      <c r="BC59" s="518"/>
      <c r="BD59" s="518"/>
      <c r="BE59" s="53">
        <v>0</v>
      </c>
      <c r="BF59" s="52"/>
      <c r="BG59" s="53"/>
      <c r="BH59" s="518"/>
      <c r="BI59" s="518"/>
      <c r="BJ59" s="53">
        <v>0</v>
      </c>
      <c r="BK59" s="52"/>
      <c r="BL59" s="53"/>
      <c r="BM59" s="518"/>
      <c r="BN59" s="518"/>
      <c r="BO59" s="53">
        <v>0</v>
      </c>
      <c r="BP59" s="52"/>
      <c r="BQ59" s="53"/>
      <c r="BR59" s="518"/>
      <c r="BS59" s="518"/>
      <c r="BT59" s="53">
        <f>SUM(L59:BO59)</f>
        <v>0</v>
      </c>
      <c r="BU59" s="52"/>
      <c r="BV59" s="53"/>
      <c r="BW59" s="465"/>
    </row>
    <row r="60" spans="1:78" hidden="1" x14ac:dyDescent="0.2">
      <c r="A60" s="377"/>
      <c r="B60" s="377"/>
      <c r="C60" s="377"/>
      <c r="D60" s="465" t="s">
        <v>491</v>
      </c>
      <c r="E60" s="417"/>
      <c r="F60" s="518"/>
      <c r="G60" s="53">
        <v>0</v>
      </c>
      <c r="H60" s="52"/>
      <c r="I60" s="53"/>
      <c r="J60" s="518"/>
      <c r="K60" s="518"/>
      <c r="L60" s="53">
        <v>0</v>
      </c>
      <c r="M60" s="52"/>
      <c r="N60" s="53"/>
      <c r="O60" s="518"/>
      <c r="P60" s="518"/>
      <c r="Q60" s="53">
        <v>0</v>
      </c>
      <c r="R60" s="52"/>
      <c r="S60" s="53"/>
      <c r="T60" s="518"/>
      <c r="U60" s="518"/>
      <c r="V60" s="53">
        <v>0</v>
      </c>
      <c r="W60" s="52"/>
      <c r="X60" s="53"/>
      <c r="Y60" s="518"/>
      <c r="Z60" s="518"/>
      <c r="AA60" s="53">
        <v>0</v>
      </c>
      <c r="AB60" s="52"/>
      <c r="AC60" s="53"/>
      <c r="AD60" s="518"/>
      <c r="AE60" s="518"/>
      <c r="AF60" s="53">
        <v>0</v>
      </c>
      <c r="AG60" s="52"/>
      <c r="AH60" s="53"/>
      <c r="AI60" s="518"/>
      <c r="AJ60" s="518"/>
      <c r="AK60" s="53">
        <v>0</v>
      </c>
      <c r="AL60" s="52"/>
      <c r="AM60" s="53"/>
      <c r="AN60" s="518"/>
      <c r="AO60" s="518"/>
      <c r="AP60" s="53">
        <v>0</v>
      </c>
      <c r="AQ60" s="52"/>
      <c r="AR60" s="53"/>
      <c r="AS60" s="518"/>
      <c r="AT60" s="518"/>
      <c r="AU60" s="53">
        <v>0</v>
      </c>
      <c r="AV60" s="52"/>
      <c r="AW60" s="53"/>
      <c r="AX60" s="518"/>
      <c r="AY60" s="518"/>
      <c r="AZ60" s="53">
        <v>0</v>
      </c>
      <c r="BA60" s="52"/>
      <c r="BB60" s="53"/>
      <c r="BC60" s="518"/>
      <c r="BD60" s="518"/>
      <c r="BE60" s="53">
        <v>0</v>
      </c>
      <c r="BF60" s="52"/>
      <c r="BG60" s="53"/>
      <c r="BH60" s="518"/>
      <c r="BI60" s="518"/>
      <c r="BJ60" s="53">
        <v>0</v>
      </c>
      <c r="BK60" s="52"/>
      <c r="BL60" s="53"/>
      <c r="BM60" s="518"/>
      <c r="BN60" s="518"/>
      <c r="BO60" s="53">
        <v>0</v>
      </c>
      <c r="BP60" s="52"/>
      <c r="BQ60" s="53"/>
      <c r="BR60" s="518"/>
      <c r="BS60" s="518"/>
      <c r="BT60" s="53">
        <f>SUM(L60:BO60)</f>
        <v>0</v>
      </c>
      <c r="BU60" s="52"/>
      <c r="BV60" s="53"/>
      <c r="BW60" s="465"/>
    </row>
    <row r="61" spans="1:78" hidden="1" x14ac:dyDescent="0.2">
      <c r="A61" s="377"/>
      <c r="B61" s="377"/>
      <c r="C61" s="377"/>
      <c r="D61" s="465" t="s">
        <v>492</v>
      </c>
      <c r="E61" s="417"/>
      <c r="F61" s="522"/>
      <c r="G61" s="102">
        <v>0</v>
      </c>
      <c r="H61" s="101"/>
      <c r="I61" s="53"/>
      <c r="J61" s="518"/>
      <c r="K61" s="522"/>
      <c r="L61" s="102">
        <v>0</v>
      </c>
      <c r="M61" s="101"/>
      <c r="N61" s="53"/>
      <c r="O61" s="518"/>
      <c r="P61" s="522"/>
      <c r="Q61" s="102">
        <v>0</v>
      </c>
      <c r="R61" s="101"/>
      <c r="S61" s="53"/>
      <c r="T61" s="518"/>
      <c r="U61" s="522"/>
      <c r="V61" s="102">
        <v>0</v>
      </c>
      <c r="W61" s="101"/>
      <c r="X61" s="53"/>
      <c r="Y61" s="518"/>
      <c r="Z61" s="522"/>
      <c r="AA61" s="102">
        <v>0</v>
      </c>
      <c r="AB61" s="101"/>
      <c r="AC61" s="53"/>
      <c r="AD61" s="518"/>
      <c r="AE61" s="522"/>
      <c r="AF61" s="102">
        <v>0</v>
      </c>
      <c r="AG61" s="101"/>
      <c r="AH61" s="53"/>
      <c r="AI61" s="518"/>
      <c r="AJ61" s="522"/>
      <c r="AK61" s="102">
        <v>0</v>
      </c>
      <c r="AL61" s="101"/>
      <c r="AM61" s="53"/>
      <c r="AN61" s="518"/>
      <c r="AO61" s="522"/>
      <c r="AP61" s="102">
        <v>0</v>
      </c>
      <c r="AQ61" s="101"/>
      <c r="AR61" s="53"/>
      <c r="AS61" s="518"/>
      <c r="AT61" s="522"/>
      <c r="AU61" s="102">
        <v>0</v>
      </c>
      <c r="AV61" s="101"/>
      <c r="AW61" s="53"/>
      <c r="AX61" s="518"/>
      <c r="AY61" s="522"/>
      <c r="AZ61" s="102">
        <v>0</v>
      </c>
      <c r="BA61" s="101"/>
      <c r="BB61" s="53"/>
      <c r="BC61" s="518"/>
      <c r="BD61" s="522"/>
      <c r="BE61" s="102">
        <v>0</v>
      </c>
      <c r="BF61" s="101"/>
      <c r="BG61" s="53"/>
      <c r="BH61" s="518"/>
      <c r="BI61" s="522"/>
      <c r="BJ61" s="102">
        <v>0</v>
      </c>
      <c r="BK61" s="101"/>
      <c r="BL61" s="53"/>
      <c r="BM61" s="518"/>
      <c r="BN61" s="522"/>
      <c r="BO61" s="102">
        <v>0</v>
      </c>
      <c r="BP61" s="101"/>
      <c r="BQ61" s="53"/>
      <c r="BR61" s="518"/>
      <c r="BS61" s="522"/>
      <c r="BT61" s="102">
        <f>SUM(L61:BO61)</f>
        <v>0</v>
      </c>
      <c r="BU61" s="101"/>
      <c r="BV61" s="53"/>
      <c r="BW61" s="465"/>
    </row>
    <row r="62" spans="1:78" ht="12.75" hidden="1" customHeight="1" x14ac:dyDescent="0.2">
      <c r="A62" s="377"/>
      <c r="B62" s="377"/>
      <c r="C62" s="377"/>
      <c r="D62" s="465"/>
      <c r="E62" s="417"/>
      <c r="F62" s="377"/>
      <c r="G62" s="53"/>
      <c r="H62" s="53"/>
      <c r="I62" s="53"/>
      <c r="J62" s="518"/>
      <c r="K62" s="53"/>
      <c r="L62" s="53"/>
      <c r="M62" s="53"/>
      <c r="N62" s="53"/>
      <c r="O62" s="518"/>
      <c r="P62" s="53"/>
      <c r="Q62" s="53"/>
      <c r="R62" s="53"/>
      <c r="S62" s="53"/>
      <c r="T62" s="518"/>
      <c r="U62" s="53"/>
      <c r="V62" s="53"/>
      <c r="W62" s="53"/>
      <c r="X62" s="53"/>
      <c r="Y62" s="518"/>
      <c r="Z62" s="53"/>
      <c r="AA62" s="53"/>
      <c r="AB62" s="53"/>
      <c r="AC62" s="53"/>
      <c r="AD62" s="518"/>
      <c r="AE62" s="53"/>
      <c r="AF62" s="53"/>
      <c r="AG62" s="53"/>
      <c r="AH62" s="53"/>
      <c r="AI62" s="518"/>
      <c r="AJ62" s="53"/>
      <c r="AK62" s="53"/>
      <c r="AL62" s="53"/>
      <c r="AM62" s="53"/>
      <c r="AN62" s="518"/>
      <c r="AO62" s="53"/>
      <c r="AP62" s="53"/>
      <c r="AQ62" s="53"/>
      <c r="AR62" s="53"/>
      <c r="AS62" s="518"/>
      <c r="AT62" s="53"/>
      <c r="AU62" s="53"/>
      <c r="AV62" s="53"/>
      <c r="AW62" s="53"/>
      <c r="AX62" s="518"/>
      <c r="AY62" s="53"/>
      <c r="AZ62" s="53"/>
      <c r="BA62" s="53"/>
      <c r="BB62" s="53"/>
      <c r="BC62" s="518"/>
      <c r="BD62" s="53"/>
      <c r="BE62" s="53"/>
      <c r="BF62" s="53"/>
      <c r="BG62" s="53"/>
      <c r="BH62" s="518"/>
      <c r="BI62" s="53"/>
      <c r="BJ62" s="53"/>
      <c r="BK62" s="53"/>
      <c r="BL62" s="53"/>
      <c r="BM62" s="518"/>
      <c r="BN62" s="53"/>
      <c r="BO62" s="53"/>
      <c r="BP62" s="53"/>
      <c r="BQ62" s="53"/>
      <c r="BR62" s="518"/>
      <c r="BS62" s="53"/>
      <c r="BT62" s="53"/>
      <c r="BU62" s="53"/>
      <c r="BV62" s="53"/>
      <c r="BW62" s="465"/>
    </row>
    <row r="63" spans="1:78" s="410" customFormat="1" ht="12.75" hidden="1" customHeight="1" x14ac:dyDescent="0.2">
      <c r="A63" s="411"/>
      <c r="B63" s="411"/>
      <c r="C63" s="411"/>
      <c r="D63" s="455" t="s">
        <v>493</v>
      </c>
      <c r="E63" s="485"/>
      <c r="F63" s="411"/>
      <c r="G63" s="42">
        <f>SUM(G64:G66)</f>
        <v>0</v>
      </c>
      <c r="H63" s="42"/>
      <c r="I63" s="42"/>
      <c r="J63" s="523"/>
      <c r="K63" s="42"/>
      <c r="L63" s="42">
        <f>SUM(L64:L66)</f>
        <v>0</v>
      </c>
      <c r="M63" s="42"/>
      <c r="N63" s="42"/>
      <c r="O63" s="523"/>
      <c r="P63" s="42"/>
      <c r="Q63" s="42">
        <f>SUM(Q64:Q66)</f>
        <v>0</v>
      </c>
      <c r="R63" s="42"/>
      <c r="S63" s="42"/>
      <c r="T63" s="523"/>
      <c r="U63" s="42"/>
      <c r="V63" s="42">
        <f>SUM(V64:V66)</f>
        <v>0</v>
      </c>
      <c r="W63" s="42"/>
      <c r="X63" s="42"/>
      <c r="Y63" s="523"/>
      <c r="Z63" s="42"/>
      <c r="AA63" s="42">
        <f>SUM(AA64:AA66)</f>
        <v>0</v>
      </c>
      <c r="AB63" s="42"/>
      <c r="AC63" s="42"/>
      <c r="AD63" s="523"/>
      <c r="AE63" s="42"/>
      <c r="AF63" s="42">
        <f>SUM(AF64:AF66)</f>
        <v>0</v>
      </c>
      <c r="AG63" s="42"/>
      <c r="AH63" s="42"/>
      <c r="AI63" s="523"/>
      <c r="AJ63" s="42"/>
      <c r="AK63" s="42">
        <f>SUM(AK64:AK66)</f>
        <v>0</v>
      </c>
      <c r="AL63" s="42"/>
      <c r="AM63" s="42"/>
      <c r="AN63" s="523"/>
      <c r="AO63" s="42"/>
      <c r="AP63" s="42">
        <f>SUM(AP64:AP66)</f>
        <v>0</v>
      </c>
      <c r="AQ63" s="42"/>
      <c r="AR63" s="42"/>
      <c r="AS63" s="523"/>
      <c r="AT63" s="42"/>
      <c r="AU63" s="42">
        <f>SUM(AU64:AU66)</f>
        <v>0</v>
      </c>
      <c r="AV63" s="42"/>
      <c r="AW63" s="42"/>
      <c r="AX63" s="523"/>
      <c r="AY63" s="42"/>
      <c r="AZ63" s="42">
        <f>SUM(AZ64:AZ66)</f>
        <v>0</v>
      </c>
      <c r="BA63" s="42"/>
      <c r="BB63" s="42"/>
      <c r="BC63" s="523"/>
      <c r="BD63" s="42"/>
      <c r="BE63" s="42">
        <f>SUM(BE64:BE66)</f>
        <v>0</v>
      </c>
      <c r="BF63" s="42"/>
      <c r="BG63" s="42"/>
      <c r="BH63" s="523"/>
      <c r="BI63" s="42"/>
      <c r="BJ63" s="42">
        <f>SUM(BJ64:BJ66)</f>
        <v>0</v>
      </c>
      <c r="BK63" s="42"/>
      <c r="BL63" s="42"/>
      <c r="BM63" s="523"/>
      <c r="BN63" s="42"/>
      <c r="BO63" s="42">
        <f>SUM(BO64:BO66)</f>
        <v>0</v>
      </c>
      <c r="BP63" s="42"/>
      <c r="BQ63" s="42"/>
      <c r="BR63" s="523"/>
      <c r="BS63" s="42"/>
      <c r="BT63" s="42">
        <f>SUM(BT64:BT66)</f>
        <v>0</v>
      </c>
      <c r="BU63" s="42"/>
      <c r="BV63" s="42"/>
      <c r="BW63" s="455"/>
      <c r="BY63" s="38"/>
      <c r="BZ63" s="38"/>
    </row>
    <row r="64" spans="1:78" ht="12.75" hidden="1" customHeight="1" x14ac:dyDescent="0.2">
      <c r="A64" s="377"/>
      <c r="B64" s="377"/>
      <c r="C64" s="377"/>
      <c r="D64" s="465" t="s">
        <v>378</v>
      </c>
      <c r="E64" s="417"/>
      <c r="F64" s="469"/>
      <c r="G64" s="520">
        <v>0</v>
      </c>
      <c r="H64" s="521"/>
      <c r="I64" s="53"/>
      <c r="J64" s="518"/>
      <c r="K64" s="519"/>
      <c r="L64" s="520">
        <f>L69</f>
        <v>0</v>
      </c>
      <c r="M64" s="521"/>
      <c r="N64" s="53"/>
      <c r="O64" s="518"/>
      <c r="P64" s="519"/>
      <c r="Q64" s="520">
        <f>Q69</f>
        <v>0</v>
      </c>
      <c r="R64" s="521"/>
      <c r="S64" s="53"/>
      <c r="T64" s="518"/>
      <c r="U64" s="519"/>
      <c r="V64" s="520">
        <f>V69</f>
        <v>0</v>
      </c>
      <c r="W64" s="521"/>
      <c r="X64" s="53"/>
      <c r="Y64" s="518"/>
      <c r="Z64" s="519"/>
      <c r="AA64" s="520">
        <f>AA69</f>
        <v>0</v>
      </c>
      <c r="AB64" s="521"/>
      <c r="AC64" s="53"/>
      <c r="AD64" s="518"/>
      <c r="AE64" s="519"/>
      <c r="AF64" s="520">
        <f>AF69</f>
        <v>0</v>
      </c>
      <c r="AG64" s="521"/>
      <c r="AH64" s="53"/>
      <c r="AI64" s="518"/>
      <c r="AJ64" s="519"/>
      <c r="AK64" s="520">
        <f>AK69</f>
        <v>0</v>
      </c>
      <c r="AL64" s="521"/>
      <c r="AM64" s="53"/>
      <c r="AN64" s="518"/>
      <c r="AO64" s="519"/>
      <c r="AP64" s="520">
        <f>AP69</f>
        <v>0</v>
      </c>
      <c r="AQ64" s="521"/>
      <c r="AR64" s="53"/>
      <c r="AS64" s="518"/>
      <c r="AT64" s="519"/>
      <c r="AU64" s="520">
        <f>AU69</f>
        <v>0</v>
      </c>
      <c r="AV64" s="521"/>
      <c r="AW64" s="53"/>
      <c r="AX64" s="518"/>
      <c r="AY64" s="519"/>
      <c r="AZ64" s="520">
        <f>AZ69</f>
        <v>0</v>
      </c>
      <c r="BA64" s="521"/>
      <c r="BB64" s="53"/>
      <c r="BC64" s="518"/>
      <c r="BD64" s="519"/>
      <c r="BE64" s="520">
        <f>BE69</f>
        <v>0</v>
      </c>
      <c r="BF64" s="521"/>
      <c r="BG64" s="53"/>
      <c r="BH64" s="518"/>
      <c r="BI64" s="519"/>
      <c r="BJ64" s="520">
        <f>BJ69</f>
        <v>0</v>
      </c>
      <c r="BK64" s="521"/>
      <c r="BL64" s="53"/>
      <c r="BM64" s="518"/>
      <c r="BN64" s="519"/>
      <c r="BO64" s="520">
        <f>BO69</f>
        <v>0</v>
      </c>
      <c r="BP64" s="521"/>
      <c r="BQ64" s="53"/>
      <c r="BR64" s="518"/>
      <c r="BS64" s="519"/>
      <c r="BT64" s="520">
        <f>BT69</f>
        <v>0</v>
      </c>
      <c r="BU64" s="521"/>
      <c r="BV64" s="53"/>
      <c r="BW64" s="465"/>
    </row>
    <row r="65" spans="1:78" ht="12.75" hidden="1" customHeight="1" x14ac:dyDescent="0.2">
      <c r="A65" s="377"/>
      <c r="B65" s="377"/>
      <c r="C65" s="377"/>
      <c r="D65" s="465" t="s">
        <v>380</v>
      </c>
      <c r="E65" s="417"/>
      <c r="F65" s="417"/>
      <c r="G65" s="53">
        <v>0</v>
      </c>
      <c r="H65" s="52"/>
      <c r="I65" s="53"/>
      <c r="J65" s="518"/>
      <c r="K65" s="518"/>
      <c r="L65" s="53">
        <f>L70</f>
        <v>0</v>
      </c>
      <c r="M65" s="52"/>
      <c r="N65" s="53"/>
      <c r="O65" s="518"/>
      <c r="P65" s="518"/>
      <c r="Q65" s="53">
        <f>Q70</f>
        <v>0</v>
      </c>
      <c r="R65" s="52"/>
      <c r="S65" s="53"/>
      <c r="T65" s="518"/>
      <c r="U65" s="518"/>
      <c r="V65" s="53">
        <f>V70</f>
        <v>0</v>
      </c>
      <c r="W65" s="52"/>
      <c r="X65" s="53"/>
      <c r="Y65" s="518"/>
      <c r="Z65" s="518"/>
      <c r="AA65" s="53">
        <f>AA70</f>
        <v>0</v>
      </c>
      <c r="AB65" s="52"/>
      <c r="AC65" s="53"/>
      <c r="AD65" s="518"/>
      <c r="AE65" s="518"/>
      <c r="AF65" s="53">
        <f>AF70</f>
        <v>0</v>
      </c>
      <c r="AG65" s="52"/>
      <c r="AH65" s="53"/>
      <c r="AI65" s="518"/>
      <c r="AJ65" s="518"/>
      <c r="AK65" s="53">
        <f>AK70</f>
        <v>0</v>
      </c>
      <c r="AL65" s="52"/>
      <c r="AM65" s="53"/>
      <c r="AN65" s="518"/>
      <c r="AO65" s="518"/>
      <c r="AP65" s="53">
        <f>AP70</f>
        <v>0</v>
      </c>
      <c r="AQ65" s="52"/>
      <c r="AR65" s="53"/>
      <c r="AS65" s="518"/>
      <c r="AT65" s="518"/>
      <c r="AU65" s="53">
        <f>AU70</f>
        <v>0</v>
      </c>
      <c r="AV65" s="52"/>
      <c r="AW65" s="53"/>
      <c r="AX65" s="518"/>
      <c r="AY65" s="518"/>
      <c r="AZ65" s="53">
        <f>AZ70</f>
        <v>0</v>
      </c>
      <c r="BA65" s="52"/>
      <c r="BB65" s="53"/>
      <c r="BC65" s="518"/>
      <c r="BD65" s="518"/>
      <c r="BE65" s="53">
        <f>BE70</f>
        <v>0</v>
      </c>
      <c r="BF65" s="52"/>
      <c r="BG65" s="53"/>
      <c r="BH65" s="518"/>
      <c r="BI65" s="518"/>
      <c r="BJ65" s="53">
        <f>BJ70</f>
        <v>0</v>
      </c>
      <c r="BK65" s="52"/>
      <c r="BL65" s="53"/>
      <c r="BM65" s="518"/>
      <c r="BN65" s="518"/>
      <c r="BO65" s="53">
        <f>BO70</f>
        <v>0</v>
      </c>
      <c r="BP65" s="52"/>
      <c r="BQ65" s="53"/>
      <c r="BR65" s="518"/>
      <c r="BS65" s="518"/>
      <c r="BT65" s="53">
        <f>BT70</f>
        <v>0</v>
      </c>
      <c r="BU65" s="52"/>
      <c r="BV65" s="53"/>
      <c r="BW65" s="465"/>
    </row>
    <row r="66" spans="1:78" ht="12.75" hidden="1" customHeight="1" x14ac:dyDescent="0.2">
      <c r="A66" s="377"/>
      <c r="B66" s="377"/>
      <c r="C66" s="377"/>
      <c r="D66" s="465" t="s">
        <v>388</v>
      </c>
      <c r="E66" s="417"/>
      <c r="F66" s="478"/>
      <c r="G66" s="102">
        <v>0</v>
      </c>
      <c r="H66" s="101"/>
      <c r="I66" s="53"/>
      <c r="J66" s="518"/>
      <c r="K66" s="522"/>
      <c r="L66" s="102">
        <f>L71</f>
        <v>0</v>
      </c>
      <c r="M66" s="101"/>
      <c r="N66" s="53"/>
      <c r="O66" s="518"/>
      <c r="P66" s="522"/>
      <c r="Q66" s="102">
        <f>Q71</f>
        <v>0</v>
      </c>
      <c r="R66" s="101"/>
      <c r="S66" s="53"/>
      <c r="T66" s="518"/>
      <c r="U66" s="522"/>
      <c r="V66" s="102">
        <f>V71</f>
        <v>0</v>
      </c>
      <c r="W66" s="101"/>
      <c r="X66" s="53"/>
      <c r="Y66" s="518"/>
      <c r="Z66" s="522"/>
      <c r="AA66" s="102">
        <f>AA71</f>
        <v>0</v>
      </c>
      <c r="AB66" s="101"/>
      <c r="AC66" s="53"/>
      <c r="AD66" s="518"/>
      <c r="AE66" s="522"/>
      <c r="AF66" s="102">
        <f>AF71</f>
        <v>0</v>
      </c>
      <c r="AG66" s="101"/>
      <c r="AH66" s="53"/>
      <c r="AI66" s="518"/>
      <c r="AJ66" s="522"/>
      <c r="AK66" s="102">
        <f>AK71</f>
        <v>0</v>
      </c>
      <c r="AL66" s="101"/>
      <c r="AM66" s="53"/>
      <c r="AN66" s="518"/>
      <c r="AO66" s="522"/>
      <c r="AP66" s="102">
        <f>AP71</f>
        <v>0</v>
      </c>
      <c r="AQ66" s="101"/>
      <c r="AR66" s="53"/>
      <c r="AS66" s="518"/>
      <c r="AT66" s="522"/>
      <c r="AU66" s="102">
        <f>AU71</f>
        <v>0</v>
      </c>
      <c r="AV66" s="101"/>
      <c r="AW66" s="53"/>
      <c r="AX66" s="518"/>
      <c r="AY66" s="522"/>
      <c r="AZ66" s="102">
        <f>AZ71</f>
        <v>0</v>
      </c>
      <c r="BA66" s="101"/>
      <c r="BB66" s="53"/>
      <c r="BC66" s="518"/>
      <c r="BD66" s="522"/>
      <c r="BE66" s="102">
        <f>BE71</f>
        <v>0</v>
      </c>
      <c r="BF66" s="101"/>
      <c r="BG66" s="53"/>
      <c r="BH66" s="518"/>
      <c r="BI66" s="522"/>
      <c r="BJ66" s="102">
        <f>BJ71</f>
        <v>0</v>
      </c>
      <c r="BK66" s="101"/>
      <c r="BL66" s="53"/>
      <c r="BM66" s="518"/>
      <c r="BN66" s="522"/>
      <c r="BO66" s="102">
        <f>BO71</f>
        <v>0</v>
      </c>
      <c r="BP66" s="101"/>
      <c r="BQ66" s="53"/>
      <c r="BR66" s="518"/>
      <c r="BS66" s="522"/>
      <c r="BT66" s="102">
        <f>BT71</f>
        <v>0</v>
      </c>
      <c r="BU66" s="101"/>
      <c r="BV66" s="53"/>
      <c r="BW66" s="465"/>
    </row>
    <row r="67" spans="1:78" ht="12.75" hidden="1" customHeight="1" x14ac:dyDescent="0.2">
      <c r="A67" s="377"/>
      <c r="B67" s="377"/>
      <c r="C67" s="377"/>
      <c r="D67" s="465"/>
      <c r="E67" s="417"/>
      <c r="F67" s="377"/>
      <c r="G67" s="53"/>
      <c r="H67" s="53"/>
      <c r="I67" s="53"/>
      <c r="J67" s="518"/>
      <c r="K67" s="53"/>
      <c r="L67" s="53"/>
      <c r="M67" s="53"/>
      <c r="N67" s="53"/>
      <c r="O67" s="518"/>
      <c r="P67" s="53"/>
      <c r="Q67" s="53"/>
      <c r="R67" s="53"/>
      <c r="S67" s="53"/>
      <c r="T67" s="518"/>
      <c r="U67" s="53"/>
      <c r="V67" s="53"/>
      <c r="W67" s="53"/>
      <c r="X67" s="53"/>
      <c r="Y67" s="518"/>
      <c r="Z67" s="53"/>
      <c r="AA67" s="53"/>
      <c r="AB67" s="53"/>
      <c r="AC67" s="53"/>
      <c r="AD67" s="518"/>
      <c r="AE67" s="53"/>
      <c r="AF67" s="53"/>
      <c r="AG67" s="53"/>
      <c r="AH67" s="53"/>
      <c r="AI67" s="518"/>
      <c r="AJ67" s="53"/>
      <c r="AK67" s="53"/>
      <c r="AL67" s="53"/>
      <c r="AM67" s="53"/>
      <c r="AN67" s="518"/>
      <c r="AO67" s="53"/>
      <c r="AP67" s="53"/>
      <c r="AQ67" s="53"/>
      <c r="AR67" s="53"/>
      <c r="AS67" s="518"/>
      <c r="AT67" s="53"/>
      <c r="AU67" s="53"/>
      <c r="AV67" s="53"/>
      <c r="AW67" s="53"/>
      <c r="AX67" s="518"/>
      <c r="AY67" s="53"/>
      <c r="AZ67" s="53"/>
      <c r="BA67" s="53"/>
      <c r="BB67" s="53"/>
      <c r="BC67" s="518"/>
      <c r="BD67" s="53"/>
      <c r="BE67" s="53"/>
      <c r="BF67" s="53"/>
      <c r="BG67" s="53"/>
      <c r="BH67" s="518"/>
      <c r="BI67" s="53"/>
      <c r="BJ67" s="53"/>
      <c r="BK67" s="53"/>
      <c r="BL67" s="53"/>
      <c r="BM67" s="518"/>
      <c r="BN67" s="53"/>
      <c r="BO67" s="53"/>
      <c r="BP67" s="53"/>
      <c r="BQ67" s="53"/>
      <c r="BR67" s="518"/>
      <c r="BS67" s="53"/>
      <c r="BT67" s="53"/>
      <c r="BU67" s="53"/>
      <c r="BV67" s="53"/>
      <c r="BW67" s="465"/>
    </row>
    <row r="68" spans="1:78" ht="12.75" hidden="1" customHeight="1" x14ac:dyDescent="0.2">
      <c r="A68" s="377"/>
      <c r="B68" s="377"/>
      <c r="C68" s="377"/>
      <c r="D68" s="465" t="s">
        <v>494</v>
      </c>
      <c r="E68" s="417"/>
      <c r="F68" s="377"/>
      <c r="G68" s="53">
        <v>0</v>
      </c>
      <c r="H68" s="53"/>
      <c r="I68" s="53"/>
      <c r="J68" s="518"/>
      <c r="K68" s="53"/>
      <c r="L68" s="53">
        <f>SUM(L69:L71)</f>
        <v>0</v>
      </c>
      <c r="M68" s="53"/>
      <c r="N68" s="53"/>
      <c r="O68" s="518"/>
      <c r="P68" s="53"/>
      <c r="Q68" s="53">
        <f>SUM(Q69:Q71)</f>
        <v>0</v>
      </c>
      <c r="R68" s="53"/>
      <c r="S68" s="53"/>
      <c r="T68" s="518"/>
      <c r="U68" s="53"/>
      <c r="V68" s="53">
        <f>SUM(V69:V71)</f>
        <v>0</v>
      </c>
      <c r="W68" s="53"/>
      <c r="X68" s="53"/>
      <c r="Y68" s="518"/>
      <c r="Z68" s="53"/>
      <c r="AA68" s="53">
        <f>SUM(AA69:AA71)</f>
        <v>0</v>
      </c>
      <c r="AB68" s="53"/>
      <c r="AC68" s="53"/>
      <c r="AD68" s="518"/>
      <c r="AE68" s="53"/>
      <c r="AF68" s="53">
        <f>SUM(AF69:AF71)</f>
        <v>0</v>
      </c>
      <c r="AG68" s="53"/>
      <c r="AH68" s="53"/>
      <c r="AI68" s="518"/>
      <c r="AJ68" s="53"/>
      <c r="AK68" s="53">
        <f>SUM(AK69:AK71)</f>
        <v>0</v>
      </c>
      <c r="AL68" s="53"/>
      <c r="AM68" s="53"/>
      <c r="AN68" s="518"/>
      <c r="AO68" s="53"/>
      <c r="AP68" s="53">
        <f>SUM(AP69:AP71)</f>
        <v>0</v>
      </c>
      <c r="AQ68" s="53"/>
      <c r="AR68" s="53"/>
      <c r="AS68" s="518"/>
      <c r="AT68" s="53"/>
      <c r="AU68" s="53">
        <f>SUM(AU69:AU71)</f>
        <v>0</v>
      </c>
      <c r="AV68" s="53"/>
      <c r="AW68" s="53"/>
      <c r="AX68" s="518"/>
      <c r="AY68" s="53"/>
      <c r="AZ68" s="53">
        <f>SUM(AZ69:AZ71)</f>
        <v>0</v>
      </c>
      <c r="BA68" s="53"/>
      <c r="BB68" s="53"/>
      <c r="BC68" s="518"/>
      <c r="BD68" s="53"/>
      <c r="BE68" s="53">
        <f>SUM(BE69:BE71)</f>
        <v>0</v>
      </c>
      <c r="BF68" s="53"/>
      <c r="BG68" s="53"/>
      <c r="BH68" s="518"/>
      <c r="BI68" s="53"/>
      <c r="BJ68" s="53">
        <f>SUM(BJ69:BJ71)</f>
        <v>0</v>
      </c>
      <c r="BK68" s="53"/>
      <c r="BL68" s="53"/>
      <c r="BM68" s="518"/>
      <c r="BN68" s="53"/>
      <c r="BO68" s="53">
        <f>SUM(BO69:BO71)</f>
        <v>0</v>
      </c>
      <c r="BP68" s="53"/>
      <c r="BQ68" s="53"/>
      <c r="BR68" s="518"/>
      <c r="BS68" s="53"/>
      <c r="BT68" s="53">
        <f>SUM(BT69:BT71)</f>
        <v>0</v>
      </c>
      <c r="BU68" s="53"/>
      <c r="BV68" s="53"/>
      <c r="BW68" s="465"/>
    </row>
    <row r="69" spans="1:78" ht="12.75" hidden="1" customHeight="1" x14ac:dyDescent="0.2">
      <c r="A69" s="377"/>
      <c r="B69" s="377"/>
      <c r="C69" s="377"/>
      <c r="D69" s="465" t="s">
        <v>378</v>
      </c>
      <c r="E69" s="417"/>
      <c r="F69" s="469"/>
      <c r="G69" s="520">
        <v>0</v>
      </c>
      <c r="H69" s="521"/>
      <c r="I69" s="53"/>
      <c r="J69" s="518"/>
      <c r="K69" s="519"/>
      <c r="L69" s="520">
        <v>0</v>
      </c>
      <c r="M69" s="521"/>
      <c r="N69" s="53"/>
      <c r="O69" s="518"/>
      <c r="P69" s="519"/>
      <c r="Q69" s="520">
        <v>0</v>
      </c>
      <c r="R69" s="521"/>
      <c r="S69" s="53"/>
      <c r="T69" s="518"/>
      <c r="U69" s="519"/>
      <c r="V69" s="520">
        <v>0</v>
      </c>
      <c r="W69" s="521"/>
      <c r="X69" s="53"/>
      <c r="Y69" s="518"/>
      <c r="Z69" s="519"/>
      <c r="AA69" s="520">
        <v>0</v>
      </c>
      <c r="AB69" s="521"/>
      <c r="AC69" s="53"/>
      <c r="AD69" s="518"/>
      <c r="AE69" s="519"/>
      <c r="AF69" s="520">
        <v>0</v>
      </c>
      <c r="AG69" s="521"/>
      <c r="AH69" s="53"/>
      <c r="AI69" s="518"/>
      <c r="AJ69" s="519"/>
      <c r="AK69" s="520">
        <v>0</v>
      </c>
      <c r="AL69" s="521"/>
      <c r="AM69" s="53"/>
      <c r="AN69" s="518"/>
      <c r="AO69" s="519"/>
      <c r="AP69" s="520">
        <v>0</v>
      </c>
      <c r="AQ69" s="521"/>
      <c r="AR69" s="53"/>
      <c r="AS69" s="518"/>
      <c r="AT69" s="519"/>
      <c r="AU69" s="520">
        <v>0</v>
      </c>
      <c r="AV69" s="521"/>
      <c r="AW69" s="53"/>
      <c r="AX69" s="518"/>
      <c r="AY69" s="519"/>
      <c r="AZ69" s="520">
        <v>0</v>
      </c>
      <c r="BA69" s="521"/>
      <c r="BB69" s="53"/>
      <c r="BC69" s="518"/>
      <c r="BD69" s="519"/>
      <c r="BE69" s="520">
        <v>0</v>
      </c>
      <c r="BF69" s="521"/>
      <c r="BG69" s="53"/>
      <c r="BH69" s="518"/>
      <c r="BI69" s="519"/>
      <c r="BJ69" s="520">
        <v>0</v>
      </c>
      <c r="BK69" s="521"/>
      <c r="BL69" s="53"/>
      <c r="BM69" s="518"/>
      <c r="BN69" s="519"/>
      <c r="BO69" s="520">
        <v>0</v>
      </c>
      <c r="BP69" s="521"/>
      <c r="BQ69" s="53"/>
      <c r="BR69" s="518"/>
      <c r="BS69" s="519"/>
      <c r="BT69" s="520">
        <f>SUM(L69:BO69)</f>
        <v>0</v>
      </c>
      <c r="BU69" s="521"/>
      <c r="BV69" s="53"/>
      <c r="BW69" s="465"/>
    </row>
    <row r="70" spans="1:78" ht="12.75" hidden="1" customHeight="1" x14ac:dyDescent="0.2">
      <c r="A70" s="377"/>
      <c r="B70" s="377"/>
      <c r="C70" s="377"/>
      <c r="D70" s="465" t="s">
        <v>380</v>
      </c>
      <c r="E70" s="417"/>
      <c r="F70" s="417"/>
      <c r="G70" s="53">
        <v>0</v>
      </c>
      <c r="H70" s="52"/>
      <c r="I70" s="53"/>
      <c r="J70" s="518"/>
      <c r="K70" s="518"/>
      <c r="L70" s="53">
        <v>0</v>
      </c>
      <c r="M70" s="52"/>
      <c r="N70" s="53"/>
      <c r="O70" s="518"/>
      <c r="P70" s="518"/>
      <c r="Q70" s="53">
        <v>0</v>
      </c>
      <c r="R70" s="52"/>
      <c r="S70" s="53"/>
      <c r="T70" s="518"/>
      <c r="U70" s="518"/>
      <c r="V70" s="53">
        <v>0</v>
      </c>
      <c r="W70" s="52"/>
      <c r="X70" s="53"/>
      <c r="Y70" s="518"/>
      <c r="Z70" s="518"/>
      <c r="AA70" s="53">
        <v>0</v>
      </c>
      <c r="AB70" s="52"/>
      <c r="AC70" s="53"/>
      <c r="AD70" s="518"/>
      <c r="AE70" s="518"/>
      <c r="AF70" s="53">
        <v>0</v>
      </c>
      <c r="AG70" s="52"/>
      <c r="AH70" s="53"/>
      <c r="AI70" s="518"/>
      <c r="AJ70" s="518"/>
      <c r="AK70" s="53">
        <v>0</v>
      </c>
      <c r="AL70" s="52"/>
      <c r="AM70" s="53"/>
      <c r="AN70" s="518"/>
      <c r="AO70" s="518"/>
      <c r="AP70" s="53">
        <v>0</v>
      </c>
      <c r="AQ70" s="52"/>
      <c r="AR70" s="53"/>
      <c r="AS70" s="518"/>
      <c r="AT70" s="518"/>
      <c r="AU70" s="53">
        <v>0</v>
      </c>
      <c r="AV70" s="52"/>
      <c r="AW70" s="53"/>
      <c r="AX70" s="518"/>
      <c r="AY70" s="518"/>
      <c r="AZ70" s="53">
        <v>0</v>
      </c>
      <c r="BA70" s="52"/>
      <c r="BB70" s="53"/>
      <c r="BC70" s="518"/>
      <c r="BD70" s="518"/>
      <c r="BE70" s="53">
        <v>0</v>
      </c>
      <c r="BF70" s="52"/>
      <c r="BG70" s="53"/>
      <c r="BH70" s="518"/>
      <c r="BI70" s="518"/>
      <c r="BJ70" s="53">
        <v>0</v>
      </c>
      <c r="BK70" s="52"/>
      <c r="BL70" s="53"/>
      <c r="BM70" s="518"/>
      <c r="BN70" s="518"/>
      <c r="BO70" s="53">
        <v>0</v>
      </c>
      <c r="BP70" s="52"/>
      <c r="BQ70" s="53"/>
      <c r="BR70" s="518"/>
      <c r="BS70" s="518"/>
      <c r="BT70" s="53">
        <f>SUM(L70:BO70)</f>
        <v>0</v>
      </c>
      <c r="BU70" s="52"/>
      <c r="BV70" s="53"/>
      <c r="BW70" s="465"/>
    </row>
    <row r="71" spans="1:78" ht="12.75" hidden="1" customHeight="1" x14ac:dyDescent="0.2">
      <c r="A71" s="377"/>
      <c r="B71" s="377"/>
      <c r="C71" s="377"/>
      <c r="D71" s="465" t="s">
        <v>388</v>
      </c>
      <c r="E71" s="417"/>
      <c r="F71" s="478"/>
      <c r="G71" s="102">
        <v>0</v>
      </c>
      <c r="H71" s="101"/>
      <c r="I71" s="53"/>
      <c r="J71" s="518"/>
      <c r="K71" s="522"/>
      <c r="L71" s="102">
        <v>0</v>
      </c>
      <c r="M71" s="101"/>
      <c r="N71" s="53"/>
      <c r="O71" s="518"/>
      <c r="P71" s="522"/>
      <c r="Q71" s="102">
        <v>0</v>
      </c>
      <c r="R71" s="101"/>
      <c r="S71" s="53"/>
      <c r="T71" s="518"/>
      <c r="U71" s="522"/>
      <c r="V71" s="102">
        <v>0</v>
      </c>
      <c r="W71" s="101"/>
      <c r="X71" s="53"/>
      <c r="Y71" s="518"/>
      <c r="Z71" s="522"/>
      <c r="AA71" s="102">
        <v>0</v>
      </c>
      <c r="AB71" s="101"/>
      <c r="AC71" s="53"/>
      <c r="AD71" s="518"/>
      <c r="AE71" s="522"/>
      <c r="AF71" s="102">
        <v>0</v>
      </c>
      <c r="AG71" s="101"/>
      <c r="AH71" s="53"/>
      <c r="AI71" s="518"/>
      <c r="AJ71" s="522"/>
      <c r="AK71" s="102">
        <v>0</v>
      </c>
      <c r="AL71" s="101"/>
      <c r="AM71" s="53"/>
      <c r="AN71" s="518"/>
      <c r="AO71" s="522"/>
      <c r="AP71" s="102">
        <v>0</v>
      </c>
      <c r="AQ71" s="101"/>
      <c r="AR71" s="53"/>
      <c r="AS71" s="518"/>
      <c r="AT71" s="522"/>
      <c r="AU71" s="102">
        <v>0</v>
      </c>
      <c r="AV71" s="101"/>
      <c r="AW71" s="53"/>
      <c r="AX71" s="518"/>
      <c r="AY71" s="522"/>
      <c r="AZ71" s="102">
        <v>0</v>
      </c>
      <c r="BA71" s="101"/>
      <c r="BB71" s="53"/>
      <c r="BC71" s="518"/>
      <c r="BD71" s="522"/>
      <c r="BE71" s="102">
        <v>0</v>
      </c>
      <c r="BF71" s="101"/>
      <c r="BG71" s="53"/>
      <c r="BH71" s="518"/>
      <c r="BI71" s="522"/>
      <c r="BJ71" s="102">
        <v>0</v>
      </c>
      <c r="BK71" s="101"/>
      <c r="BL71" s="53"/>
      <c r="BM71" s="518"/>
      <c r="BN71" s="522"/>
      <c r="BO71" s="102">
        <v>0</v>
      </c>
      <c r="BP71" s="101"/>
      <c r="BQ71" s="53"/>
      <c r="BR71" s="518"/>
      <c r="BS71" s="522"/>
      <c r="BT71" s="102">
        <f>SUM(L71:BO71)</f>
        <v>0</v>
      </c>
      <c r="BU71" s="101"/>
      <c r="BV71" s="53"/>
      <c r="BW71" s="465"/>
    </row>
    <row r="72" spans="1:78" ht="12.75" hidden="1" customHeight="1" x14ac:dyDescent="0.2">
      <c r="A72" s="377"/>
      <c r="B72" s="377"/>
      <c r="C72" s="377"/>
      <c r="D72" s="465"/>
      <c r="E72" s="417"/>
      <c r="F72" s="377"/>
      <c r="G72" s="53"/>
      <c r="H72" s="53"/>
      <c r="I72" s="53"/>
      <c r="J72" s="518"/>
      <c r="K72" s="53"/>
      <c r="L72" s="53"/>
      <c r="M72" s="53"/>
      <c r="N72" s="53"/>
      <c r="O72" s="518"/>
      <c r="P72" s="53"/>
      <c r="Q72" s="53"/>
      <c r="R72" s="53"/>
      <c r="S72" s="53"/>
      <c r="T72" s="518"/>
      <c r="U72" s="53"/>
      <c r="V72" s="53"/>
      <c r="W72" s="53"/>
      <c r="X72" s="53"/>
      <c r="Y72" s="518"/>
      <c r="Z72" s="53"/>
      <c r="AA72" s="53"/>
      <c r="AB72" s="53"/>
      <c r="AC72" s="53"/>
      <c r="AD72" s="518"/>
      <c r="AE72" s="53"/>
      <c r="AF72" s="53"/>
      <c r="AG72" s="53"/>
      <c r="AH72" s="53"/>
      <c r="AI72" s="518"/>
      <c r="AJ72" s="53"/>
      <c r="AK72" s="53"/>
      <c r="AL72" s="53"/>
      <c r="AM72" s="53"/>
      <c r="AN72" s="518"/>
      <c r="AO72" s="53"/>
      <c r="AP72" s="53"/>
      <c r="AQ72" s="53"/>
      <c r="AR72" s="53"/>
      <c r="AS72" s="518"/>
      <c r="AT72" s="53"/>
      <c r="AU72" s="53"/>
      <c r="AV72" s="53"/>
      <c r="AW72" s="53"/>
      <c r="AX72" s="518"/>
      <c r="AY72" s="53"/>
      <c r="AZ72" s="53"/>
      <c r="BA72" s="53"/>
      <c r="BB72" s="53"/>
      <c r="BC72" s="518"/>
      <c r="BD72" s="53"/>
      <c r="BE72" s="53"/>
      <c r="BF72" s="53"/>
      <c r="BG72" s="53"/>
      <c r="BH72" s="518"/>
      <c r="BI72" s="53"/>
      <c r="BJ72" s="53"/>
      <c r="BK72" s="53"/>
      <c r="BL72" s="53"/>
      <c r="BM72" s="518"/>
      <c r="BN72" s="53"/>
      <c r="BO72" s="53"/>
      <c r="BP72" s="53"/>
      <c r="BQ72" s="53"/>
      <c r="BR72" s="518"/>
      <c r="BS72" s="53"/>
      <c r="BT72" s="53"/>
      <c r="BU72" s="53"/>
      <c r="BV72" s="53"/>
      <c r="BW72" s="465"/>
    </row>
    <row r="73" spans="1:78" s="410" customFormat="1" ht="12.75" hidden="1" customHeight="1" x14ac:dyDescent="0.2">
      <c r="A73" s="411"/>
      <c r="B73" s="411"/>
      <c r="C73" s="411"/>
      <c r="D73" s="455" t="s">
        <v>495</v>
      </c>
      <c r="E73" s="485"/>
      <c r="F73" s="411"/>
      <c r="G73" s="42">
        <v>0</v>
      </c>
      <c r="H73" s="42"/>
      <c r="I73" s="42"/>
      <c r="J73" s="523"/>
      <c r="K73" s="42"/>
      <c r="L73" s="42">
        <f>SUM(L74:L76)</f>
        <v>0</v>
      </c>
      <c r="M73" s="42"/>
      <c r="N73" s="42"/>
      <c r="O73" s="523"/>
      <c r="P73" s="42"/>
      <c r="Q73" s="42">
        <f>SUM(Q74:Q76)</f>
        <v>0</v>
      </c>
      <c r="R73" s="42"/>
      <c r="S73" s="42"/>
      <c r="T73" s="523"/>
      <c r="U73" s="42"/>
      <c r="V73" s="42">
        <f>SUM(V74:V76)</f>
        <v>0</v>
      </c>
      <c r="W73" s="42"/>
      <c r="X73" s="42"/>
      <c r="Y73" s="523"/>
      <c r="Z73" s="42"/>
      <c r="AA73" s="42">
        <f>SUM(AA74:AA76)</f>
        <v>0</v>
      </c>
      <c r="AB73" s="42"/>
      <c r="AC73" s="42"/>
      <c r="AD73" s="523"/>
      <c r="AE73" s="42"/>
      <c r="AF73" s="42">
        <f>SUM(AF74:AF76)</f>
        <v>0</v>
      </c>
      <c r="AG73" s="42"/>
      <c r="AH73" s="42"/>
      <c r="AI73" s="523"/>
      <c r="AJ73" s="42"/>
      <c r="AK73" s="42">
        <f>SUM(AK74:AK76)</f>
        <v>0</v>
      </c>
      <c r="AL73" s="42"/>
      <c r="AM73" s="42"/>
      <c r="AN73" s="523"/>
      <c r="AO73" s="42"/>
      <c r="AP73" s="42">
        <f>SUM(AP74:AP76)</f>
        <v>0</v>
      </c>
      <c r="AQ73" s="42"/>
      <c r="AR73" s="42"/>
      <c r="AS73" s="523"/>
      <c r="AT73" s="42"/>
      <c r="AU73" s="42">
        <f>SUM(AU74:AU76)</f>
        <v>0</v>
      </c>
      <c r="AV73" s="42"/>
      <c r="AW73" s="42"/>
      <c r="AX73" s="523"/>
      <c r="AY73" s="42"/>
      <c r="AZ73" s="42">
        <f>SUM(AZ74:AZ76)</f>
        <v>0</v>
      </c>
      <c r="BA73" s="42"/>
      <c r="BB73" s="42"/>
      <c r="BC73" s="523"/>
      <c r="BD73" s="42"/>
      <c r="BE73" s="42">
        <f>SUM(BE74:BE76)</f>
        <v>0</v>
      </c>
      <c r="BF73" s="42"/>
      <c r="BG73" s="42"/>
      <c r="BH73" s="523"/>
      <c r="BI73" s="42"/>
      <c r="BJ73" s="42">
        <f>SUM(BJ74:BJ76)</f>
        <v>0</v>
      </c>
      <c r="BK73" s="42"/>
      <c r="BL73" s="42"/>
      <c r="BM73" s="523"/>
      <c r="BN73" s="42"/>
      <c r="BO73" s="42">
        <f>SUM(BO74:BO76)</f>
        <v>0</v>
      </c>
      <c r="BP73" s="42"/>
      <c r="BQ73" s="42"/>
      <c r="BR73" s="523"/>
      <c r="BS73" s="42"/>
      <c r="BT73" s="42">
        <f>SUM(BT74:BT76)</f>
        <v>0</v>
      </c>
      <c r="BU73" s="42"/>
      <c r="BV73" s="42"/>
      <c r="BW73" s="455"/>
      <c r="BY73" s="38"/>
      <c r="BZ73" s="38"/>
    </row>
    <row r="74" spans="1:78" ht="12.75" hidden="1" customHeight="1" x14ac:dyDescent="0.2">
      <c r="A74" s="377"/>
      <c r="B74" s="377"/>
      <c r="C74" s="377"/>
      <c r="D74" s="465" t="s">
        <v>378</v>
      </c>
      <c r="E74" s="417"/>
      <c r="F74" s="469"/>
      <c r="G74" s="520">
        <v>0</v>
      </c>
      <c r="H74" s="521"/>
      <c r="I74" s="53"/>
      <c r="J74" s="518"/>
      <c r="K74" s="519"/>
      <c r="L74" s="520">
        <f>L79</f>
        <v>0</v>
      </c>
      <c r="M74" s="521"/>
      <c r="N74" s="53"/>
      <c r="O74" s="518"/>
      <c r="P74" s="519"/>
      <c r="Q74" s="520">
        <f>Q79</f>
        <v>0</v>
      </c>
      <c r="R74" s="521"/>
      <c r="S74" s="53"/>
      <c r="T74" s="518"/>
      <c r="U74" s="519"/>
      <c r="V74" s="520">
        <f>V79</f>
        <v>0</v>
      </c>
      <c r="W74" s="521"/>
      <c r="X74" s="53"/>
      <c r="Y74" s="518"/>
      <c r="Z74" s="519"/>
      <c r="AA74" s="520">
        <f>AA79</f>
        <v>0</v>
      </c>
      <c r="AB74" s="521"/>
      <c r="AC74" s="53"/>
      <c r="AD74" s="518"/>
      <c r="AE74" s="519"/>
      <c r="AF74" s="520">
        <f>AF79</f>
        <v>0</v>
      </c>
      <c r="AG74" s="521"/>
      <c r="AH74" s="53"/>
      <c r="AI74" s="518"/>
      <c r="AJ74" s="519"/>
      <c r="AK74" s="520">
        <f>AK79</f>
        <v>0</v>
      </c>
      <c r="AL74" s="521"/>
      <c r="AM74" s="53"/>
      <c r="AN74" s="518"/>
      <c r="AO74" s="519"/>
      <c r="AP74" s="520">
        <f>AP79</f>
        <v>0</v>
      </c>
      <c r="AQ74" s="521"/>
      <c r="AR74" s="53"/>
      <c r="AS74" s="518"/>
      <c r="AT74" s="519"/>
      <c r="AU74" s="520">
        <f>AU79</f>
        <v>0</v>
      </c>
      <c r="AV74" s="521"/>
      <c r="AW74" s="53"/>
      <c r="AX74" s="518"/>
      <c r="AY74" s="519"/>
      <c r="AZ74" s="520">
        <f>AZ79</f>
        <v>0</v>
      </c>
      <c r="BA74" s="521"/>
      <c r="BB74" s="53"/>
      <c r="BC74" s="518"/>
      <c r="BD74" s="519"/>
      <c r="BE74" s="520">
        <f>BE79</f>
        <v>0</v>
      </c>
      <c r="BF74" s="521"/>
      <c r="BG74" s="53"/>
      <c r="BH74" s="518"/>
      <c r="BI74" s="519"/>
      <c r="BJ74" s="520">
        <f>BJ79</f>
        <v>0</v>
      </c>
      <c r="BK74" s="521"/>
      <c r="BL74" s="53"/>
      <c r="BM74" s="518"/>
      <c r="BN74" s="519"/>
      <c r="BO74" s="520">
        <f>BO79</f>
        <v>0</v>
      </c>
      <c r="BP74" s="521"/>
      <c r="BQ74" s="53"/>
      <c r="BR74" s="518"/>
      <c r="BS74" s="519"/>
      <c r="BT74" s="520">
        <f>BT79</f>
        <v>0</v>
      </c>
      <c r="BU74" s="521"/>
      <c r="BV74" s="53"/>
      <c r="BW74" s="465"/>
    </row>
    <row r="75" spans="1:78" ht="12.75" hidden="1" customHeight="1" x14ac:dyDescent="0.2">
      <c r="A75" s="377"/>
      <c r="B75" s="377"/>
      <c r="C75" s="377"/>
      <c r="D75" s="465" t="s">
        <v>380</v>
      </c>
      <c r="E75" s="417"/>
      <c r="F75" s="417"/>
      <c r="G75" s="53">
        <v>0</v>
      </c>
      <c r="H75" s="52"/>
      <c r="I75" s="53"/>
      <c r="J75" s="518"/>
      <c r="K75" s="518"/>
      <c r="L75" s="53">
        <f>L80</f>
        <v>0</v>
      </c>
      <c r="M75" s="52"/>
      <c r="N75" s="53"/>
      <c r="O75" s="518"/>
      <c r="P75" s="518"/>
      <c r="Q75" s="53">
        <f>Q80</f>
        <v>0</v>
      </c>
      <c r="R75" s="52"/>
      <c r="S75" s="53"/>
      <c r="T75" s="518"/>
      <c r="U75" s="518"/>
      <c r="V75" s="53">
        <f>V80</f>
        <v>0</v>
      </c>
      <c r="W75" s="52"/>
      <c r="X75" s="53"/>
      <c r="Y75" s="518"/>
      <c r="Z75" s="518"/>
      <c r="AA75" s="53">
        <f>AA80</f>
        <v>0</v>
      </c>
      <c r="AB75" s="52"/>
      <c r="AC75" s="53"/>
      <c r="AD75" s="518"/>
      <c r="AE75" s="518"/>
      <c r="AF75" s="53">
        <f>AF80</f>
        <v>0</v>
      </c>
      <c r="AG75" s="52"/>
      <c r="AH75" s="53"/>
      <c r="AI75" s="518"/>
      <c r="AJ75" s="518"/>
      <c r="AK75" s="53">
        <f>AK80</f>
        <v>0</v>
      </c>
      <c r="AL75" s="52"/>
      <c r="AM75" s="53"/>
      <c r="AN75" s="518"/>
      <c r="AO75" s="518"/>
      <c r="AP75" s="53">
        <f>AP80</f>
        <v>0</v>
      </c>
      <c r="AQ75" s="52"/>
      <c r="AR75" s="53"/>
      <c r="AS75" s="518"/>
      <c r="AT75" s="518"/>
      <c r="AU75" s="53">
        <f>AU80</f>
        <v>0</v>
      </c>
      <c r="AV75" s="52"/>
      <c r="AW75" s="53"/>
      <c r="AX75" s="518"/>
      <c r="AY75" s="518"/>
      <c r="AZ75" s="53">
        <f>AZ80</f>
        <v>0</v>
      </c>
      <c r="BA75" s="52"/>
      <c r="BB75" s="53"/>
      <c r="BC75" s="518"/>
      <c r="BD75" s="518"/>
      <c r="BE75" s="53">
        <f>BE80</f>
        <v>0</v>
      </c>
      <c r="BF75" s="52"/>
      <c r="BG75" s="53"/>
      <c r="BH75" s="518"/>
      <c r="BI75" s="518"/>
      <c r="BJ75" s="53">
        <f>BJ80</f>
        <v>0</v>
      </c>
      <c r="BK75" s="52"/>
      <c r="BL75" s="53"/>
      <c r="BM75" s="518"/>
      <c r="BN75" s="518"/>
      <c r="BO75" s="53">
        <f>BO80</f>
        <v>0</v>
      </c>
      <c r="BP75" s="52"/>
      <c r="BQ75" s="53"/>
      <c r="BR75" s="518"/>
      <c r="BS75" s="518"/>
      <c r="BT75" s="53">
        <f>BT80</f>
        <v>0</v>
      </c>
      <c r="BU75" s="52"/>
      <c r="BV75" s="53"/>
      <c r="BW75" s="465"/>
    </row>
    <row r="76" spans="1:78" ht="12.75" hidden="1" customHeight="1" x14ac:dyDescent="0.2">
      <c r="A76" s="377"/>
      <c r="B76" s="377"/>
      <c r="C76" s="377"/>
      <c r="D76" s="465" t="s">
        <v>388</v>
      </c>
      <c r="E76" s="417"/>
      <c r="F76" s="478"/>
      <c r="G76" s="102">
        <v>0</v>
      </c>
      <c r="H76" s="101"/>
      <c r="I76" s="53"/>
      <c r="J76" s="518"/>
      <c r="K76" s="522"/>
      <c r="L76" s="102">
        <f>L81</f>
        <v>0</v>
      </c>
      <c r="M76" s="101"/>
      <c r="N76" s="53"/>
      <c r="O76" s="518"/>
      <c r="P76" s="522"/>
      <c r="Q76" s="102">
        <f>Q81</f>
        <v>0</v>
      </c>
      <c r="R76" s="101"/>
      <c r="S76" s="53"/>
      <c r="T76" s="518"/>
      <c r="U76" s="522"/>
      <c r="V76" s="102">
        <f>V81</f>
        <v>0</v>
      </c>
      <c r="W76" s="101"/>
      <c r="X76" s="53"/>
      <c r="Y76" s="518"/>
      <c r="Z76" s="522"/>
      <c r="AA76" s="102">
        <f>AA81</f>
        <v>0</v>
      </c>
      <c r="AB76" s="101"/>
      <c r="AC76" s="53"/>
      <c r="AD76" s="518"/>
      <c r="AE76" s="522"/>
      <c r="AF76" s="102">
        <f>AF81</f>
        <v>0</v>
      </c>
      <c r="AG76" s="101"/>
      <c r="AH76" s="53"/>
      <c r="AI76" s="518"/>
      <c r="AJ76" s="522"/>
      <c r="AK76" s="102">
        <f>AK81</f>
        <v>0</v>
      </c>
      <c r="AL76" s="101"/>
      <c r="AM76" s="53"/>
      <c r="AN76" s="518"/>
      <c r="AO76" s="522"/>
      <c r="AP76" s="102">
        <f>AP81</f>
        <v>0</v>
      </c>
      <c r="AQ76" s="101"/>
      <c r="AR76" s="53"/>
      <c r="AS76" s="518"/>
      <c r="AT76" s="522"/>
      <c r="AU76" s="102">
        <f>AU81</f>
        <v>0</v>
      </c>
      <c r="AV76" s="101"/>
      <c r="AW76" s="53"/>
      <c r="AX76" s="518"/>
      <c r="AY76" s="522"/>
      <c r="AZ76" s="102">
        <f>AZ81</f>
        <v>0</v>
      </c>
      <c r="BA76" s="101"/>
      <c r="BB76" s="53"/>
      <c r="BC76" s="518"/>
      <c r="BD76" s="522"/>
      <c r="BE76" s="102">
        <f>BE81</f>
        <v>0</v>
      </c>
      <c r="BF76" s="101"/>
      <c r="BG76" s="53"/>
      <c r="BH76" s="518"/>
      <c r="BI76" s="522"/>
      <c r="BJ76" s="102">
        <f>BJ81</f>
        <v>0</v>
      </c>
      <c r="BK76" s="101"/>
      <c r="BL76" s="53"/>
      <c r="BM76" s="518"/>
      <c r="BN76" s="522"/>
      <c r="BO76" s="102">
        <f>BO81</f>
        <v>0</v>
      </c>
      <c r="BP76" s="101"/>
      <c r="BQ76" s="53"/>
      <c r="BR76" s="518"/>
      <c r="BS76" s="522"/>
      <c r="BT76" s="102">
        <f>BT81</f>
        <v>0</v>
      </c>
      <c r="BU76" s="101"/>
      <c r="BV76" s="53"/>
      <c r="BW76" s="465"/>
    </row>
    <row r="77" spans="1:78" ht="12.75" hidden="1" customHeight="1" x14ac:dyDescent="0.2">
      <c r="A77" s="377"/>
      <c r="B77" s="377"/>
      <c r="C77" s="377"/>
      <c r="D77" s="465"/>
      <c r="E77" s="417"/>
      <c r="F77" s="377"/>
      <c r="G77" s="53"/>
      <c r="H77" s="53"/>
      <c r="I77" s="53"/>
      <c r="J77" s="518"/>
      <c r="K77" s="53"/>
      <c r="L77" s="53"/>
      <c r="M77" s="53"/>
      <c r="N77" s="53"/>
      <c r="O77" s="518"/>
      <c r="P77" s="53"/>
      <c r="Q77" s="53"/>
      <c r="R77" s="53"/>
      <c r="S77" s="53"/>
      <c r="T77" s="518"/>
      <c r="U77" s="53"/>
      <c r="V77" s="53"/>
      <c r="W77" s="53"/>
      <c r="X77" s="53"/>
      <c r="Y77" s="518"/>
      <c r="Z77" s="53"/>
      <c r="AA77" s="53"/>
      <c r="AB77" s="53"/>
      <c r="AC77" s="53"/>
      <c r="AD77" s="518"/>
      <c r="AE77" s="53"/>
      <c r="AF77" s="53"/>
      <c r="AG77" s="53"/>
      <c r="AH77" s="53"/>
      <c r="AI77" s="518"/>
      <c r="AJ77" s="53"/>
      <c r="AK77" s="53"/>
      <c r="AL77" s="53"/>
      <c r="AM77" s="53"/>
      <c r="AN77" s="518"/>
      <c r="AO77" s="53"/>
      <c r="AP77" s="53"/>
      <c r="AQ77" s="53"/>
      <c r="AR77" s="53"/>
      <c r="AS77" s="518"/>
      <c r="AT77" s="53"/>
      <c r="AU77" s="53"/>
      <c r="AV77" s="53"/>
      <c r="AW77" s="53"/>
      <c r="AX77" s="518"/>
      <c r="AY77" s="53"/>
      <c r="AZ77" s="53"/>
      <c r="BA77" s="53"/>
      <c r="BB77" s="53"/>
      <c r="BC77" s="518"/>
      <c r="BD77" s="53"/>
      <c r="BE77" s="53"/>
      <c r="BF77" s="53"/>
      <c r="BG77" s="53"/>
      <c r="BH77" s="518"/>
      <c r="BI77" s="53"/>
      <c r="BJ77" s="53"/>
      <c r="BK77" s="53"/>
      <c r="BL77" s="53"/>
      <c r="BM77" s="518"/>
      <c r="BN77" s="53"/>
      <c r="BO77" s="53"/>
      <c r="BP77" s="53"/>
      <c r="BQ77" s="53"/>
      <c r="BR77" s="518"/>
      <c r="BS77" s="53"/>
      <c r="BT77" s="53"/>
      <c r="BU77" s="53"/>
      <c r="BV77" s="53"/>
      <c r="BW77" s="465"/>
    </row>
    <row r="78" spans="1:78" ht="12.75" hidden="1" customHeight="1" x14ac:dyDescent="0.2">
      <c r="A78" s="377"/>
      <c r="B78" s="377"/>
      <c r="C78" s="377"/>
      <c r="D78" s="465" t="s">
        <v>496</v>
      </c>
      <c r="E78" s="417"/>
      <c r="F78" s="377"/>
      <c r="G78" s="53">
        <v>0</v>
      </c>
      <c r="H78" s="53"/>
      <c r="I78" s="53"/>
      <c r="J78" s="518"/>
      <c r="K78" s="53"/>
      <c r="L78" s="53">
        <f>SUM(L79:L81)</f>
        <v>0</v>
      </c>
      <c r="M78" s="53"/>
      <c r="N78" s="53"/>
      <c r="O78" s="518"/>
      <c r="P78" s="53"/>
      <c r="Q78" s="53">
        <f>SUM(Q79:Q81)</f>
        <v>0</v>
      </c>
      <c r="R78" s="53"/>
      <c r="S78" s="53"/>
      <c r="T78" s="518"/>
      <c r="U78" s="53"/>
      <c r="V78" s="53">
        <f>SUM(V79:V81)</f>
        <v>0</v>
      </c>
      <c r="W78" s="53"/>
      <c r="X78" s="53"/>
      <c r="Y78" s="518"/>
      <c r="Z78" s="53"/>
      <c r="AA78" s="53">
        <f>SUM(AA79:AA81)</f>
        <v>0</v>
      </c>
      <c r="AB78" s="53"/>
      <c r="AC78" s="53"/>
      <c r="AD78" s="518"/>
      <c r="AE78" s="53"/>
      <c r="AF78" s="53">
        <f>SUM(AF79:AF81)</f>
        <v>0</v>
      </c>
      <c r="AG78" s="53"/>
      <c r="AH78" s="53"/>
      <c r="AI78" s="518"/>
      <c r="AJ78" s="53"/>
      <c r="AK78" s="53">
        <f>SUM(AK79:AK81)</f>
        <v>0</v>
      </c>
      <c r="AL78" s="53"/>
      <c r="AM78" s="53"/>
      <c r="AN78" s="518"/>
      <c r="AO78" s="53"/>
      <c r="AP78" s="53">
        <f>SUM(AP79:AP81)</f>
        <v>0</v>
      </c>
      <c r="AQ78" s="53"/>
      <c r="AR78" s="53"/>
      <c r="AS78" s="518"/>
      <c r="AT78" s="53"/>
      <c r="AU78" s="53">
        <f>SUM(AU79:AU81)</f>
        <v>0</v>
      </c>
      <c r="AV78" s="53"/>
      <c r="AW78" s="53"/>
      <c r="AX78" s="518"/>
      <c r="AY78" s="53"/>
      <c r="AZ78" s="53">
        <f>SUM(AZ79:AZ81)</f>
        <v>0</v>
      </c>
      <c r="BA78" s="53"/>
      <c r="BB78" s="53"/>
      <c r="BC78" s="518"/>
      <c r="BD78" s="53"/>
      <c r="BE78" s="53">
        <f>SUM(BE79:BE81)</f>
        <v>0</v>
      </c>
      <c r="BF78" s="53"/>
      <c r="BG78" s="53"/>
      <c r="BH78" s="518"/>
      <c r="BI78" s="53"/>
      <c r="BJ78" s="53">
        <f>SUM(BJ79:BJ81)</f>
        <v>0</v>
      </c>
      <c r="BK78" s="53"/>
      <c r="BL78" s="53"/>
      <c r="BM78" s="518"/>
      <c r="BN78" s="53"/>
      <c r="BO78" s="53">
        <f>SUM(BO79:BO81)</f>
        <v>0</v>
      </c>
      <c r="BP78" s="53"/>
      <c r="BQ78" s="53"/>
      <c r="BR78" s="518"/>
      <c r="BS78" s="53"/>
      <c r="BT78" s="53">
        <f>SUM(BT79:BT81)</f>
        <v>0</v>
      </c>
      <c r="BU78" s="53"/>
      <c r="BV78" s="53"/>
      <c r="BW78" s="465"/>
    </row>
    <row r="79" spans="1:78" ht="12.75" hidden="1" customHeight="1" x14ac:dyDescent="0.2">
      <c r="A79" s="377"/>
      <c r="B79" s="377"/>
      <c r="C79" s="377"/>
      <c r="D79" s="465" t="s">
        <v>378</v>
      </c>
      <c r="E79" s="417"/>
      <c r="F79" s="469"/>
      <c r="G79" s="520">
        <v>0</v>
      </c>
      <c r="H79" s="521"/>
      <c r="I79" s="53"/>
      <c r="J79" s="518"/>
      <c r="K79" s="519"/>
      <c r="L79" s="520">
        <v>0</v>
      </c>
      <c r="M79" s="521"/>
      <c r="N79" s="53"/>
      <c r="O79" s="518"/>
      <c r="P79" s="519"/>
      <c r="Q79" s="520">
        <v>0</v>
      </c>
      <c r="R79" s="521"/>
      <c r="S79" s="53"/>
      <c r="T79" s="518"/>
      <c r="U79" s="519"/>
      <c r="V79" s="520">
        <v>0</v>
      </c>
      <c r="W79" s="521"/>
      <c r="X79" s="53"/>
      <c r="Y79" s="518"/>
      <c r="Z79" s="519"/>
      <c r="AA79" s="520">
        <v>0</v>
      </c>
      <c r="AB79" s="521"/>
      <c r="AC79" s="53"/>
      <c r="AD79" s="518"/>
      <c r="AE79" s="519"/>
      <c r="AF79" s="520">
        <v>0</v>
      </c>
      <c r="AG79" s="521"/>
      <c r="AH79" s="53"/>
      <c r="AI79" s="518"/>
      <c r="AJ79" s="519"/>
      <c r="AK79" s="520">
        <v>0</v>
      </c>
      <c r="AL79" s="521"/>
      <c r="AM79" s="53"/>
      <c r="AN79" s="518"/>
      <c r="AO79" s="519"/>
      <c r="AP79" s="520">
        <v>0</v>
      </c>
      <c r="AQ79" s="521"/>
      <c r="AR79" s="53"/>
      <c r="AS79" s="518"/>
      <c r="AT79" s="519"/>
      <c r="AU79" s="520">
        <v>0</v>
      </c>
      <c r="AV79" s="521"/>
      <c r="AW79" s="53"/>
      <c r="AX79" s="518"/>
      <c r="AY79" s="519"/>
      <c r="AZ79" s="520">
        <v>0</v>
      </c>
      <c r="BA79" s="521"/>
      <c r="BB79" s="53"/>
      <c r="BC79" s="518"/>
      <c r="BD79" s="519"/>
      <c r="BE79" s="520">
        <v>0</v>
      </c>
      <c r="BF79" s="521"/>
      <c r="BG79" s="53"/>
      <c r="BH79" s="518"/>
      <c r="BI79" s="519"/>
      <c r="BJ79" s="520">
        <v>0</v>
      </c>
      <c r="BK79" s="521"/>
      <c r="BL79" s="53"/>
      <c r="BM79" s="518"/>
      <c r="BN79" s="519"/>
      <c r="BO79" s="520">
        <v>0</v>
      </c>
      <c r="BP79" s="521"/>
      <c r="BQ79" s="53"/>
      <c r="BR79" s="518"/>
      <c r="BS79" s="519"/>
      <c r="BT79" s="520">
        <f>SUM(L79:BO79)</f>
        <v>0</v>
      </c>
      <c r="BU79" s="521"/>
      <c r="BV79" s="53"/>
      <c r="BW79" s="465"/>
    </row>
    <row r="80" spans="1:78" ht="12.75" hidden="1" customHeight="1" x14ac:dyDescent="0.2">
      <c r="A80" s="377"/>
      <c r="B80" s="377"/>
      <c r="C80" s="377"/>
      <c r="D80" s="465" t="s">
        <v>380</v>
      </c>
      <c r="E80" s="417"/>
      <c r="F80" s="417"/>
      <c r="G80" s="53">
        <v>0</v>
      </c>
      <c r="H80" s="52"/>
      <c r="I80" s="53"/>
      <c r="J80" s="518"/>
      <c r="K80" s="518"/>
      <c r="L80" s="53">
        <v>0</v>
      </c>
      <c r="M80" s="52"/>
      <c r="N80" s="53"/>
      <c r="O80" s="518"/>
      <c r="P80" s="518"/>
      <c r="Q80" s="53">
        <v>0</v>
      </c>
      <c r="R80" s="52"/>
      <c r="S80" s="53"/>
      <c r="T80" s="518"/>
      <c r="U80" s="518"/>
      <c r="V80" s="53">
        <v>0</v>
      </c>
      <c r="W80" s="52"/>
      <c r="X80" s="53"/>
      <c r="Y80" s="518"/>
      <c r="Z80" s="518"/>
      <c r="AA80" s="53">
        <v>0</v>
      </c>
      <c r="AB80" s="52"/>
      <c r="AC80" s="53"/>
      <c r="AD80" s="518"/>
      <c r="AE80" s="518"/>
      <c r="AF80" s="53">
        <v>0</v>
      </c>
      <c r="AG80" s="52"/>
      <c r="AH80" s="53"/>
      <c r="AI80" s="518"/>
      <c r="AJ80" s="518"/>
      <c r="AK80" s="53">
        <v>0</v>
      </c>
      <c r="AL80" s="52"/>
      <c r="AM80" s="53"/>
      <c r="AN80" s="518"/>
      <c r="AO80" s="518"/>
      <c r="AP80" s="53">
        <v>0</v>
      </c>
      <c r="AQ80" s="52"/>
      <c r="AR80" s="53"/>
      <c r="AS80" s="518"/>
      <c r="AT80" s="518"/>
      <c r="AU80" s="53">
        <v>0</v>
      </c>
      <c r="AV80" s="52"/>
      <c r="AW80" s="53"/>
      <c r="AX80" s="518"/>
      <c r="AY80" s="518"/>
      <c r="AZ80" s="53">
        <v>0</v>
      </c>
      <c r="BA80" s="52"/>
      <c r="BB80" s="53"/>
      <c r="BC80" s="518"/>
      <c r="BD80" s="518"/>
      <c r="BE80" s="53">
        <v>0</v>
      </c>
      <c r="BF80" s="52"/>
      <c r="BG80" s="53"/>
      <c r="BH80" s="518"/>
      <c r="BI80" s="518"/>
      <c r="BJ80" s="53">
        <v>0</v>
      </c>
      <c r="BK80" s="52"/>
      <c r="BL80" s="53"/>
      <c r="BM80" s="518"/>
      <c r="BN80" s="518"/>
      <c r="BO80" s="53">
        <v>0</v>
      </c>
      <c r="BP80" s="52"/>
      <c r="BQ80" s="53"/>
      <c r="BR80" s="518"/>
      <c r="BS80" s="518"/>
      <c r="BT80" s="53">
        <f>SUM(L80:BO80)</f>
        <v>0</v>
      </c>
      <c r="BU80" s="52"/>
      <c r="BV80" s="53"/>
      <c r="BW80" s="465"/>
    </row>
    <row r="81" spans="1:75" ht="12.75" hidden="1" customHeight="1" x14ac:dyDescent="0.2">
      <c r="A81" s="377"/>
      <c r="B81" s="377"/>
      <c r="C81" s="377"/>
      <c r="D81" s="465" t="s">
        <v>388</v>
      </c>
      <c r="E81" s="417"/>
      <c r="F81" s="478"/>
      <c r="G81" s="102">
        <v>0</v>
      </c>
      <c r="H81" s="101"/>
      <c r="I81" s="53"/>
      <c r="J81" s="518"/>
      <c r="K81" s="522"/>
      <c r="L81" s="102">
        <v>0</v>
      </c>
      <c r="M81" s="101"/>
      <c r="N81" s="53"/>
      <c r="O81" s="518"/>
      <c r="P81" s="522"/>
      <c r="Q81" s="102">
        <v>0</v>
      </c>
      <c r="R81" s="101"/>
      <c r="S81" s="53"/>
      <c r="T81" s="518"/>
      <c r="U81" s="522"/>
      <c r="V81" s="102">
        <v>0</v>
      </c>
      <c r="W81" s="101"/>
      <c r="X81" s="53"/>
      <c r="Y81" s="518"/>
      <c r="Z81" s="522"/>
      <c r="AA81" s="102">
        <v>0</v>
      </c>
      <c r="AB81" s="101"/>
      <c r="AC81" s="53"/>
      <c r="AD81" s="518"/>
      <c r="AE81" s="522"/>
      <c r="AF81" s="102">
        <v>0</v>
      </c>
      <c r="AG81" s="101"/>
      <c r="AH81" s="53"/>
      <c r="AI81" s="518"/>
      <c r="AJ81" s="522"/>
      <c r="AK81" s="102">
        <v>0</v>
      </c>
      <c r="AL81" s="101"/>
      <c r="AM81" s="53"/>
      <c r="AN81" s="518"/>
      <c r="AO81" s="522"/>
      <c r="AP81" s="102">
        <v>0</v>
      </c>
      <c r="AQ81" s="101"/>
      <c r="AR81" s="53"/>
      <c r="AS81" s="518"/>
      <c r="AT81" s="522"/>
      <c r="AU81" s="102">
        <v>0</v>
      </c>
      <c r="AV81" s="101"/>
      <c r="AW81" s="53"/>
      <c r="AX81" s="518"/>
      <c r="AY81" s="522"/>
      <c r="AZ81" s="102">
        <v>0</v>
      </c>
      <c r="BA81" s="101"/>
      <c r="BB81" s="53"/>
      <c r="BC81" s="518"/>
      <c r="BD81" s="522"/>
      <c r="BE81" s="102">
        <v>0</v>
      </c>
      <c r="BF81" s="101"/>
      <c r="BG81" s="53"/>
      <c r="BH81" s="518"/>
      <c r="BI81" s="522"/>
      <c r="BJ81" s="102">
        <v>0</v>
      </c>
      <c r="BK81" s="101"/>
      <c r="BL81" s="53"/>
      <c r="BM81" s="518"/>
      <c r="BN81" s="522"/>
      <c r="BO81" s="102">
        <v>0</v>
      </c>
      <c r="BP81" s="101"/>
      <c r="BQ81" s="53"/>
      <c r="BR81" s="518"/>
      <c r="BS81" s="522"/>
      <c r="BT81" s="102">
        <f>SUM(L81:BO81)</f>
        <v>0</v>
      </c>
      <c r="BU81" s="101"/>
      <c r="BV81" s="53"/>
      <c r="BW81" s="465"/>
    </row>
    <row r="82" spans="1:75" ht="12.75" hidden="1" customHeight="1" x14ac:dyDescent="0.2">
      <c r="A82" s="377"/>
      <c r="B82" s="377"/>
      <c r="C82" s="377"/>
      <c r="D82" s="465"/>
      <c r="E82" s="417"/>
      <c r="F82" s="377"/>
      <c r="G82" s="53"/>
      <c r="H82" s="53"/>
      <c r="I82" s="53"/>
      <c r="J82" s="518"/>
      <c r="K82" s="53"/>
      <c r="L82" s="53"/>
      <c r="M82" s="53"/>
      <c r="N82" s="53"/>
      <c r="O82" s="518"/>
      <c r="P82" s="53"/>
      <c r="Q82" s="53"/>
      <c r="R82" s="53"/>
      <c r="S82" s="53"/>
      <c r="T82" s="518"/>
      <c r="U82" s="53"/>
      <c r="V82" s="53"/>
      <c r="W82" s="53"/>
      <c r="X82" s="53"/>
      <c r="Y82" s="518"/>
      <c r="Z82" s="53"/>
      <c r="AA82" s="53"/>
      <c r="AB82" s="53"/>
      <c r="AC82" s="53"/>
      <c r="AD82" s="518"/>
      <c r="AE82" s="53"/>
      <c r="AF82" s="53"/>
      <c r="AG82" s="53"/>
      <c r="AH82" s="53"/>
      <c r="AI82" s="518"/>
      <c r="AJ82" s="53"/>
      <c r="AK82" s="53"/>
      <c r="AL82" s="53"/>
      <c r="AM82" s="53"/>
      <c r="AN82" s="518"/>
      <c r="AO82" s="53"/>
      <c r="AP82" s="53"/>
      <c r="AQ82" s="53"/>
      <c r="AR82" s="53"/>
      <c r="AS82" s="518"/>
      <c r="AT82" s="53"/>
      <c r="AU82" s="53"/>
      <c r="AV82" s="53"/>
      <c r="AW82" s="53"/>
      <c r="AX82" s="518"/>
      <c r="AY82" s="53"/>
      <c r="AZ82" s="53"/>
      <c r="BA82" s="53"/>
      <c r="BB82" s="53"/>
      <c r="BC82" s="518"/>
      <c r="BD82" s="53"/>
      <c r="BE82" s="53"/>
      <c r="BF82" s="53"/>
      <c r="BG82" s="53"/>
      <c r="BH82" s="518"/>
      <c r="BI82" s="53"/>
      <c r="BJ82" s="53"/>
      <c r="BK82" s="53"/>
      <c r="BL82" s="53"/>
      <c r="BM82" s="518"/>
      <c r="BN82" s="53"/>
      <c r="BO82" s="53"/>
      <c r="BP82" s="53"/>
      <c r="BQ82" s="53"/>
      <c r="BR82" s="518"/>
      <c r="BS82" s="53"/>
      <c r="BT82" s="53"/>
      <c r="BU82" s="53"/>
      <c r="BV82" s="53"/>
      <c r="BW82" s="465"/>
    </row>
    <row r="83" spans="1:75" ht="12.75" hidden="1" customHeight="1" x14ac:dyDescent="0.2">
      <c r="A83" s="377"/>
      <c r="B83" s="377"/>
      <c r="C83" s="377"/>
      <c r="D83" s="465" t="s">
        <v>483</v>
      </c>
      <c r="E83" s="417"/>
      <c r="F83" s="377"/>
      <c r="G83" s="53">
        <v>0</v>
      </c>
      <c r="H83" s="53"/>
      <c r="I83" s="53"/>
      <c r="J83" s="518"/>
      <c r="K83" s="53"/>
      <c r="L83" s="53">
        <f>SUM(L84:L86)</f>
        <v>0</v>
      </c>
      <c r="M83" s="53"/>
      <c r="N83" s="53"/>
      <c r="O83" s="518"/>
      <c r="P83" s="53"/>
      <c r="Q83" s="53">
        <f>SUM(Q84:Q86)</f>
        <v>0</v>
      </c>
      <c r="R83" s="53"/>
      <c r="S83" s="53"/>
      <c r="T83" s="518"/>
      <c r="U83" s="53"/>
      <c r="V83" s="53">
        <f>SUM(V84:V86)</f>
        <v>0</v>
      </c>
      <c r="W83" s="53"/>
      <c r="X83" s="53"/>
      <c r="Y83" s="518"/>
      <c r="Z83" s="53"/>
      <c r="AA83" s="53">
        <f>SUM(AA84:AA86)</f>
        <v>0</v>
      </c>
      <c r="AB83" s="53"/>
      <c r="AC83" s="53"/>
      <c r="AD83" s="518"/>
      <c r="AE83" s="53"/>
      <c r="AF83" s="53">
        <f>SUM(AF84:AF86)</f>
        <v>0</v>
      </c>
      <c r="AG83" s="53"/>
      <c r="AH83" s="53"/>
      <c r="AI83" s="518"/>
      <c r="AJ83" s="53"/>
      <c r="AK83" s="53">
        <f>SUM(AK84:AK86)</f>
        <v>0</v>
      </c>
      <c r="AL83" s="53"/>
      <c r="AM83" s="53"/>
      <c r="AN83" s="518"/>
      <c r="AO83" s="53"/>
      <c r="AP83" s="53">
        <f>SUM(AP84:AP86)</f>
        <v>0</v>
      </c>
      <c r="AQ83" s="53"/>
      <c r="AR83" s="53"/>
      <c r="AS83" s="518"/>
      <c r="AT83" s="53"/>
      <c r="AU83" s="53">
        <f>SUM(AU84:AU86)</f>
        <v>0</v>
      </c>
      <c r="AV83" s="53"/>
      <c r="AW83" s="53"/>
      <c r="AX83" s="518"/>
      <c r="AY83" s="53"/>
      <c r="AZ83" s="53">
        <f>SUM(AZ84:AZ86)</f>
        <v>0</v>
      </c>
      <c r="BA83" s="53"/>
      <c r="BB83" s="53"/>
      <c r="BC83" s="518"/>
      <c r="BD83" s="53"/>
      <c r="BE83" s="53">
        <f>SUM(BE84:BE86)</f>
        <v>0</v>
      </c>
      <c r="BF83" s="53"/>
      <c r="BG83" s="53"/>
      <c r="BH83" s="518"/>
      <c r="BI83" s="53"/>
      <c r="BJ83" s="53">
        <f>SUM(BJ84:BJ86)</f>
        <v>0</v>
      </c>
      <c r="BK83" s="53"/>
      <c r="BL83" s="53"/>
      <c r="BM83" s="518"/>
      <c r="BN83" s="53"/>
      <c r="BO83" s="53">
        <f>SUM(BO84:BO86)</f>
        <v>0</v>
      </c>
      <c r="BP83" s="53"/>
      <c r="BQ83" s="53"/>
      <c r="BR83" s="518"/>
      <c r="BS83" s="53"/>
      <c r="BT83" s="53">
        <f>SUM(BT84:BT86)</f>
        <v>0</v>
      </c>
      <c r="BU83" s="53"/>
      <c r="BV83" s="53"/>
      <c r="BW83" s="465"/>
    </row>
    <row r="84" spans="1:75" ht="12.75" hidden="1" customHeight="1" x14ac:dyDescent="0.2">
      <c r="A84" s="377"/>
      <c r="B84" s="377"/>
      <c r="C84" s="377"/>
      <c r="D84" s="465" t="s">
        <v>378</v>
      </c>
      <c r="E84" s="417"/>
      <c r="F84" s="469"/>
      <c r="G84" s="520">
        <v>0</v>
      </c>
      <c r="H84" s="521"/>
      <c r="I84" s="53"/>
      <c r="J84" s="518"/>
      <c r="K84" s="519"/>
      <c r="L84" s="520">
        <v>0</v>
      </c>
      <c r="M84" s="521"/>
      <c r="N84" s="53"/>
      <c r="O84" s="518"/>
      <c r="P84" s="519"/>
      <c r="Q84" s="520">
        <v>0</v>
      </c>
      <c r="R84" s="521"/>
      <c r="S84" s="53"/>
      <c r="T84" s="518"/>
      <c r="U84" s="519"/>
      <c r="V84" s="520">
        <v>0</v>
      </c>
      <c r="W84" s="521"/>
      <c r="X84" s="53"/>
      <c r="Y84" s="518"/>
      <c r="Z84" s="519"/>
      <c r="AA84" s="520">
        <v>0</v>
      </c>
      <c r="AB84" s="521"/>
      <c r="AC84" s="53"/>
      <c r="AD84" s="518"/>
      <c r="AE84" s="519"/>
      <c r="AF84" s="520">
        <v>0</v>
      </c>
      <c r="AG84" s="521"/>
      <c r="AH84" s="53"/>
      <c r="AI84" s="518"/>
      <c r="AJ84" s="519"/>
      <c r="AK84" s="520">
        <v>0</v>
      </c>
      <c r="AL84" s="521"/>
      <c r="AM84" s="53"/>
      <c r="AN84" s="518"/>
      <c r="AO84" s="519"/>
      <c r="AP84" s="520">
        <v>0</v>
      </c>
      <c r="AQ84" s="521"/>
      <c r="AR84" s="53"/>
      <c r="AS84" s="518"/>
      <c r="AT84" s="519"/>
      <c r="AU84" s="520">
        <v>0</v>
      </c>
      <c r="AV84" s="521"/>
      <c r="AW84" s="53"/>
      <c r="AX84" s="518"/>
      <c r="AY84" s="519"/>
      <c r="AZ84" s="520">
        <v>0</v>
      </c>
      <c r="BA84" s="521"/>
      <c r="BB84" s="53"/>
      <c r="BC84" s="518"/>
      <c r="BD84" s="519"/>
      <c r="BE84" s="520">
        <v>0</v>
      </c>
      <c r="BF84" s="521"/>
      <c r="BG84" s="53"/>
      <c r="BH84" s="518"/>
      <c r="BI84" s="519"/>
      <c r="BJ84" s="520">
        <v>0</v>
      </c>
      <c r="BK84" s="521"/>
      <c r="BL84" s="53"/>
      <c r="BM84" s="518"/>
      <c r="BN84" s="519"/>
      <c r="BO84" s="520">
        <v>0</v>
      </c>
      <c r="BP84" s="521"/>
      <c r="BQ84" s="53"/>
      <c r="BR84" s="518"/>
      <c r="BS84" s="519"/>
      <c r="BT84" s="520">
        <f>SUM(L84:BO84)</f>
        <v>0</v>
      </c>
      <c r="BU84" s="521"/>
      <c r="BV84" s="53"/>
      <c r="BW84" s="465"/>
    </row>
    <row r="85" spans="1:75" ht="12.75" hidden="1" customHeight="1" x14ac:dyDescent="0.2">
      <c r="A85" s="377"/>
      <c r="B85" s="377"/>
      <c r="C85" s="377"/>
      <c r="D85" s="465" t="s">
        <v>380</v>
      </c>
      <c r="E85" s="417"/>
      <c r="F85" s="417"/>
      <c r="G85" s="53">
        <v>0</v>
      </c>
      <c r="H85" s="52"/>
      <c r="I85" s="53"/>
      <c r="J85" s="518"/>
      <c r="K85" s="518"/>
      <c r="L85" s="53">
        <v>0</v>
      </c>
      <c r="M85" s="52"/>
      <c r="N85" s="53"/>
      <c r="O85" s="518"/>
      <c r="P85" s="518"/>
      <c r="Q85" s="53">
        <v>0</v>
      </c>
      <c r="R85" s="52"/>
      <c r="S85" s="53"/>
      <c r="T85" s="518"/>
      <c r="U85" s="518"/>
      <c r="V85" s="53">
        <v>0</v>
      </c>
      <c r="W85" s="52"/>
      <c r="X85" s="53"/>
      <c r="Y85" s="518"/>
      <c r="Z85" s="518"/>
      <c r="AA85" s="53">
        <v>0</v>
      </c>
      <c r="AB85" s="52"/>
      <c r="AC85" s="53"/>
      <c r="AD85" s="518"/>
      <c r="AE85" s="518"/>
      <c r="AF85" s="53">
        <v>0</v>
      </c>
      <c r="AG85" s="52"/>
      <c r="AH85" s="53"/>
      <c r="AI85" s="518"/>
      <c r="AJ85" s="518"/>
      <c r="AK85" s="53">
        <v>0</v>
      </c>
      <c r="AL85" s="52"/>
      <c r="AM85" s="53"/>
      <c r="AN85" s="518"/>
      <c r="AO85" s="518"/>
      <c r="AP85" s="53">
        <v>0</v>
      </c>
      <c r="AQ85" s="52"/>
      <c r="AR85" s="53"/>
      <c r="AS85" s="518"/>
      <c r="AT85" s="518"/>
      <c r="AU85" s="53">
        <v>0</v>
      </c>
      <c r="AV85" s="52"/>
      <c r="AW85" s="53"/>
      <c r="AX85" s="518"/>
      <c r="AY85" s="518"/>
      <c r="AZ85" s="53">
        <v>0</v>
      </c>
      <c r="BA85" s="52"/>
      <c r="BB85" s="53"/>
      <c r="BC85" s="518"/>
      <c r="BD85" s="518"/>
      <c r="BE85" s="53">
        <v>0</v>
      </c>
      <c r="BF85" s="52"/>
      <c r="BG85" s="53"/>
      <c r="BH85" s="518"/>
      <c r="BI85" s="518"/>
      <c r="BJ85" s="53">
        <v>0</v>
      </c>
      <c r="BK85" s="52"/>
      <c r="BL85" s="53"/>
      <c r="BM85" s="518"/>
      <c r="BN85" s="518"/>
      <c r="BO85" s="53">
        <v>0</v>
      </c>
      <c r="BP85" s="52"/>
      <c r="BQ85" s="53"/>
      <c r="BR85" s="518"/>
      <c r="BS85" s="518"/>
      <c r="BT85" s="53">
        <f>SUM(L85:BO85)</f>
        <v>0</v>
      </c>
      <c r="BU85" s="52"/>
      <c r="BV85" s="53"/>
      <c r="BW85" s="465"/>
    </row>
    <row r="86" spans="1:75" ht="12.75" hidden="1" customHeight="1" x14ac:dyDescent="0.2">
      <c r="A86" s="377"/>
      <c r="B86" s="377"/>
      <c r="C86" s="377"/>
      <c r="D86" s="465" t="s">
        <v>388</v>
      </c>
      <c r="E86" s="417"/>
      <c r="F86" s="478"/>
      <c r="G86" s="102">
        <v>0</v>
      </c>
      <c r="H86" s="101"/>
      <c r="I86" s="53"/>
      <c r="J86" s="518"/>
      <c r="K86" s="522"/>
      <c r="L86" s="102">
        <v>0</v>
      </c>
      <c r="M86" s="101"/>
      <c r="N86" s="53"/>
      <c r="O86" s="518"/>
      <c r="P86" s="522"/>
      <c r="Q86" s="102">
        <v>0</v>
      </c>
      <c r="R86" s="101"/>
      <c r="S86" s="53"/>
      <c r="T86" s="518"/>
      <c r="U86" s="522"/>
      <c r="V86" s="102">
        <v>0</v>
      </c>
      <c r="W86" s="101"/>
      <c r="X86" s="53"/>
      <c r="Y86" s="518"/>
      <c r="Z86" s="522"/>
      <c r="AA86" s="102">
        <v>0</v>
      </c>
      <c r="AB86" s="101"/>
      <c r="AC86" s="53"/>
      <c r="AD86" s="518"/>
      <c r="AE86" s="522"/>
      <c r="AF86" s="102">
        <v>0</v>
      </c>
      <c r="AG86" s="101"/>
      <c r="AH86" s="53"/>
      <c r="AI86" s="518"/>
      <c r="AJ86" s="522"/>
      <c r="AK86" s="102">
        <v>0</v>
      </c>
      <c r="AL86" s="101"/>
      <c r="AM86" s="53"/>
      <c r="AN86" s="518"/>
      <c r="AO86" s="522"/>
      <c r="AP86" s="102">
        <v>0</v>
      </c>
      <c r="AQ86" s="101"/>
      <c r="AR86" s="53"/>
      <c r="AS86" s="518"/>
      <c r="AT86" s="522"/>
      <c r="AU86" s="102">
        <v>0</v>
      </c>
      <c r="AV86" s="101"/>
      <c r="AW86" s="53"/>
      <c r="AX86" s="518"/>
      <c r="AY86" s="522"/>
      <c r="AZ86" s="102">
        <v>0</v>
      </c>
      <c r="BA86" s="101"/>
      <c r="BB86" s="53"/>
      <c r="BC86" s="518"/>
      <c r="BD86" s="522"/>
      <c r="BE86" s="102">
        <v>0</v>
      </c>
      <c r="BF86" s="101"/>
      <c r="BG86" s="53"/>
      <c r="BH86" s="518"/>
      <c r="BI86" s="522"/>
      <c r="BJ86" s="102">
        <v>0</v>
      </c>
      <c r="BK86" s="101"/>
      <c r="BL86" s="53"/>
      <c r="BM86" s="518"/>
      <c r="BN86" s="522"/>
      <c r="BO86" s="102">
        <v>0</v>
      </c>
      <c r="BP86" s="101"/>
      <c r="BQ86" s="53"/>
      <c r="BR86" s="518"/>
      <c r="BS86" s="522"/>
      <c r="BT86" s="102">
        <f>SUM(L86:BO86)</f>
        <v>0</v>
      </c>
      <c r="BU86" s="101"/>
      <c r="BV86" s="53"/>
      <c r="BW86" s="465"/>
    </row>
    <row r="87" spans="1:75" ht="12.75" hidden="1" customHeight="1" x14ac:dyDescent="0.2">
      <c r="A87" s="377"/>
      <c r="B87" s="377"/>
      <c r="C87" s="377"/>
      <c r="D87" s="465"/>
      <c r="E87" s="417"/>
      <c r="F87" s="377"/>
      <c r="G87" s="53"/>
      <c r="H87" s="53"/>
      <c r="I87" s="53"/>
      <c r="J87" s="518"/>
      <c r="K87" s="53"/>
      <c r="L87" s="53"/>
      <c r="M87" s="53"/>
      <c r="N87" s="53"/>
      <c r="O87" s="518"/>
      <c r="P87" s="53"/>
      <c r="Q87" s="53"/>
      <c r="R87" s="53"/>
      <c r="S87" s="53"/>
      <c r="T87" s="518"/>
      <c r="U87" s="53"/>
      <c r="V87" s="53"/>
      <c r="W87" s="53"/>
      <c r="X87" s="53"/>
      <c r="Y87" s="518"/>
      <c r="Z87" s="53"/>
      <c r="AA87" s="53"/>
      <c r="AB87" s="53"/>
      <c r="AC87" s="53"/>
      <c r="AD87" s="518"/>
      <c r="AE87" s="53"/>
      <c r="AF87" s="53"/>
      <c r="AG87" s="53"/>
      <c r="AH87" s="53"/>
      <c r="AI87" s="518"/>
      <c r="AJ87" s="53"/>
      <c r="AK87" s="53"/>
      <c r="AL87" s="53"/>
      <c r="AM87" s="53"/>
      <c r="AN87" s="518"/>
      <c r="AO87" s="53"/>
      <c r="AP87" s="53"/>
      <c r="AQ87" s="53"/>
      <c r="AR87" s="53"/>
      <c r="AS87" s="518"/>
      <c r="AT87" s="53"/>
      <c r="AU87" s="53"/>
      <c r="AV87" s="53"/>
      <c r="AW87" s="53"/>
      <c r="AX87" s="518"/>
      <c r="AY87" s="53"/>
      <c r="AZ87" s="53"/>
      <c r="BA87" s="53"/>
      <c r="BB87" s="53"/>
      <c r="BC87" s="518"/>
      <c r="BD87" s="53"/>
      <c r="BE87" s="53"/>
      <c r="BF87" s="53"/>
      <c r="BG87" s="53"/>
      <c r="BH87" s="518"/>
      <c r="BI87" s="53"/>
      <c r="BJ87" s="53"/>
      <c r="BK87" s="53"/>
      <c r="BL87" s="53"/>
      <c r="BM87" s="518"/>
      <c r="BN87" s="53"/>
      <c r="BO87" s="53"/>
      <c r="BP87" s="53"/>
      <c r="BQ87" s="53"/>
      <c r="BR87" s="518"/>
      <c r="BS87" s="53"/>
      <c r="BT87" s="53"/>
      <c r="BU87" s="53"/>
      <c r="BV87" s="53"/>
      <c r="BW87" s="465"/>
    </row>
    <row r="88" spans="1:75" ht="12.75" hidden="1" customHeight="1" x14ac:dyDescent="0.2">
      <c r="A88" s="377"/>
      <c r="B88" s="377"/>
      <c r="C88" s="377"/>
      <c r="D88" s="465" t="s">
        <v>497</v>
      </c>
      <c r="E88" s="417"/>
      <c r="F88" s="377"/>
      <c r="G88" s="53">
        <v>0</v>
      </c>
      <c r="H88" s="53"/>
      <c r="I88" s="53"/>
      <c r="J88" s="518"/>
      <c r="K88" s="53"/>
      <c r="L88" s="53">
        <f>SUM(L89:L91)</f>
        <v>0</v>
      </c>
      <c r="M88" s="53"/>
      <c r="N88" s="53"/>
      <c r="O88" s="518"/>
      <c r="P88" s="53"/>
      <c r="Q88" s="53">
        <f>SUM(Q89:Q91)</f>
        <v>0</v>
      </c>
      <c r="R88" s="53"/>
      <c r="S88" s="53"/>
      <c r="T88" s="518"/>
      <c r="U88" s="53"/>
      <c r="V88" s="53">
        <f>SUM(V89:V91)</f>
        <v>0</v>
      </c>
      <c r="W88" s="53"/>
      <c r="X88" s="53"/>
      <c r="Y88" s="518"/>
      <c r="Z88" s="53"/>
      <c r="AA88" s="53">
        <f>SUM(AA89:AA91)</f>
        <v>0</v>
      </c>
      <c r="AB88" s="53"/>
      <c r="AC88" s="53"/>
      <c r="AD88" s="518"/>
      <c r="AE88" s="53"/>
      <c r="AF88" s="53">
        <f>SUM(AF89:AF91)</f>
        <v>0</v>
      </c>
      <c r="AG88" s="53"/>
      <c r="AH88" s="53"/>
      <c r="AI88" s="518"/>
      <c r="AJ88" s="53"/>
      <c r="AK88" s="53">
        <f>SUM(AK89:AK91)</f>
        <v>0</v>
      </c>
      <c r="AL88" s="53"/>
      <c r="AM88" s="53"/>
      <c r="AN88" s="518"/>
      <c r="AO88" s="53"/>
      <c r="AP88" s="53">
        <f>SUM(AP89:AP91)</f>
        <v>0</v>
      </c>
      <c r="AQ88" s="53"/>
      <c r="AR88" s="53"/>
      <c r="AS88" s="518"/>
      <c r="AT88" s="53"/>
      <c r="AU88" s="53">
        <f>SUM(AU89:AU91)</f>
        <v>0</v>
      </c>
      <c r="AV88" s="53"/>
      <c r="AW88" s="53"/>
      <c r="AX88" s="518"/>
      <c r="AY88" s="53"/>
      <c r="AZ88" s="53">
        <f>SUM(AZ89:AZ91)</f>
        <v>0</v>
      </c>
      <c r="BA88" s="53"/>
      <c r="BB88" s="53"/>
      <c r="BC88" s="518"/>
      <c r="BD88" s="53"/>
      <c r="BE88" s="53">
        <f>SUM(BE89:BE91)</f>
        <v>0</v>
      </c>
      <c r="BF88" s="53"/>
      <c r="BG88" s="53"/>
      <c r="BH88" s="518"/>
      <c r="BI88" s="53"/>
      <c r="BJ88" s="53">
        <f>SUM(BJ89:BJ91)</f>
        <v>0</v>
      </c>
      <c r="BK88" s="53"/>
      <c r="BL88" s="53"/>
      <c r="BM88" s="518"/>
      <c r="BN88" s="53"/>
      <c r="BO88" s="53">
        <f>SUM(BO89:BO91)</f>
        <v>0</v>
      </c>
      <c r="BP88" s="53"/>
      <c r="BQ88" s="53"/>
      <c r="BR88" s="518"/>
      <c r="BS88" s="53"/>
      <c r="BT88" s="53">
        <f>SUM(BT89:BT91)</f>
        <v>0</v>
      </c>
      <c r="BU88" s="53"/>
      <c r="BV88" s="53"/>
      <c r="BW88" s="465"/>
    </row>
    <row r="89" spans="1:75" ht="12.75" hidden="1" customHeight="1" x14ac:dyDescent="0.2">
      <c r="A89" s="377"/>
      <c r="B89" s="377"/>
      <c r="C89" s="377"/>
      <c r="D89" s="465" t="s">
        <v>378</v>
      </c>
      <c r="E89" s="417"/>
      <c r="F89" s="469"/>
      <c r="G89" s="520">
        <v>0</v>
      </c>
      <c r="H89" s="521"/>
      <c r="I89" s="53"/>
      <c r="J89" s="518"/>
      <c r="K89" s="519"/>
      <c r="L89" s="520">
        <v>0</v>
      </c>
      <c r="M89" s="521"/>
      <c r="N89" s="53"/>
      <c r="O89" s="518"/>
      <c r="P89" s="519"/>
      <c r="Q89" s="520">
        <v>0</v>
      </c>
      <c r="R89" s="521"/>
      <c r="S89" s="53"/>
      <c r="T89" s="518"/>
      <c r="U89" s="519"/>
      <c r="V89" s="520">
        <v>0</v>
      </c>
      <c r="W89" s="521"/>
      <c r="X89" s="53"/>
      <c r="Y89" s="518"/>
      <c r="Z89" s="519"/>
      <c r="AA89" s="520">
        <v>0</v>
      </c>
      <c r="AB89" s="521"/>
      <c r="AC89" s="53"/>
      <c r="AD89" s="518"/>
      <c r="AE89" s="519"/>
      <c r="AF89" s="520">
        <v>0</v>
      </c>
      <c r="AG89" s="521"/>
      <c r="AH89" s="53"/>
      <c r="AI89" s="518"/>
      <c r="AJ89" s="519"/>
      <c r="AK89" s="520">
        <v>0</v>
      </c>
      <c r="AL89" s="521"/>
      <c r="AM89" s="53"/>
      <c r="AN89" s="518"/>
      <c r="AO89" s="519"/>
      <c r="AP89" s="520">
        <v>0</v>
      </c>
      <c r="AQ89" s="521"/>
      <c r="AR89" s="53"/>
      <c r="AS89" s="518"/>
      <c r="AT89" s="519"/>
      <c r="AU89" s="520">
        <v>0</v>
      </c>
      <c r="AV89" s="521"/>
      <c r="AW89" s="53"/>
      <c r="AX89" s="518"/>
      <c r="AY89" s="519"/>
      <c r="AZ89" s="520">
        <v>0</v>
      </c>
      <c r="BA89" s="521"/>
      <c r="BB89" s="53"/>
      <c r="BC89" s="518"/>
      <c r="BD89" s="519"/>
      <c r="BE89" s="520">
        <v>0</v>
      </c>
      <c r="BF89" s="521"/>
      <c r="BG89" s="53"/>
      <c r="BH89" s="518"/>
      <c r="BI89" s="519"/>
      <c r="BJ89" s="520">
        <v>0</v>
      </c>
      <c r="BK89" s="521"/>
      <c r="BL89" s="53"/>
      <c r="BM89" s="518"/>
      <c r="BN89" s="519"/>
      <c r="BO89" s="520">
        <v>0</v>
      </c>
      <c r="BP89" s="521"/>
      <c r="BQ89" s="53"/>
      <c r="BR89" s="518"/>
      <c r="BS89" s="519"/>
      <c r="BT89" s="520">
        <f>SUM(L89:BO89)</f>
        <v>0</v>
      </c>
      <c r="BU89" s="521"/>
      <c r="BV89" s="53"/>
      <c r="BW89" s="465"/>
    </row>
    <row r="90" spans="1:75" ht="12.75" hidden="1" customHeight="1" x14ac:dyDescent="0.2">
      <c r="A90" s="377"/>
      <c r="B90" s="377"/>
      <c r="C90" s="377"/>
      <c r="D90" s="465" t="s">
        <v>380</v>
      </c>
      <c r="E90" s="417"/>
      <c r="F90" s="417"/>
      <c r="G90" s="53">
        <v>0</v>
      </c>
      <c r="H90" s="52"/>
      <c r="I90" s="53"/>
      <c r="J90" s="518"/>
      <c r="K90" s="518"/>
      <c r="L90" s="53">
        <v>0</v>
      </c>
      <c r="M90" s="52"/>
      <c r="N90" s="53"/>
      <c r="O90" s="518"/>
      <c r="P90" s="518"/>
      <c r="Q90" s="53">
        <v>0</v>
      </c>
      <c r="R90" s="52"/>
      <c r="S90" s="53"/>
      <c r="T90" s="518"/>
      <c r="U90" s="518"/>
      <c r="V90" s="53">
        <v>0</v>
      </c>
      <c r="W90" s="52"/>
      <c r="X90" s="53"/>
      <c r="Y90" s="518"/>
      <c r="Z90" s="518"/>
      <c r="AA90" s="53">
        <v>0</v>
      </c>
      <c r="AB90" s="52"/>
      <c r="AC90" s="53"/>
      <c r="AD90" s="518"/>
      <c r="AE90" s="518"/>
      <c r="AF90" s="53">
        <v>0</v>
      </c>
      <c r="AG90" s="52"/>
      <c r="AH90" s="53"/>
      <c r="AI90" s="518"/>
      <c r="AJ90" s="518"/>
      <c r="AK90" s="53">
        <v>0</v>
      </c>
      <c r="AL90" s="52"/>
      <c r="AM90" s="53"/>
      <c r="AN90" s="518"/>
      <c r="AO90" s="518"/>
      <c r="AP90" s="53">
        <v>0</v>
      </c>
      <c r="AQ90" s="52"/>
      <c r="AR90" s="53"/>
      <c r="AS90" s="518"/>
      <c r="AT90" s="518"/>
      <c r="AU90" s="53">
        <v>0</v>
      </c>
      <c r="AV90" s="52"/>
      <c r="AW90" s="53"/>
      <c r="AX90" s="518"/>
      <c r="AY90" s="518"/>
      <c r="AZ90" s="53">
        <v>0</v>
      </c>
      <c r="BA90" s="52"/>
      <c r="BB90" s="53"/>
      <c r="BC90" s="518"/>
      <c r="BD90" s="518"/>
      <c r="BE90" s="53">
        <v>0</v>
      </c>
      <c r="BF90" s="52"/>
      <c r="BG90" s="53"/>
      <c r="BH90" s="518"/>
      <c r="BI90" s="518"/>
      <c r="BJ90" s="53">
        <v>0</v>
      </c>
      <c r="BK90" s="52"/>
      <c r="BL90" s="53"/>
      <c r="BM90" s="518"/>
      <c r="BN90" s="518"/>
      <c r="BO90" s="53">
        <v>0</v>
      </c>
      <c r="BP90" s="52"/>
      <c r="BQ90" s="53"/>
      <c r="BR90" s="518"/>
      <c r="BS90" s="518"/>
      <c r="BT90" s="53">
        <f>SUM(L90:BO90)</f>
        <v>0</v>
      </c>
      <c r="BU90" s="52"/>
      <c r="BV90" s="53"/>
      <c r="BW90" s="465"/>
    </row>
    <row r="91" spans="1:75" ht="12.75" hidden="1" customHeight="1" x14ac:dyDescent="0.2">
      <c r="A91" s="377"/>
      <c r="B91" s="377"/>
      <c r="C91" s="377"/>
      <c r="D91" s="465" t="s">
        <v>388</v>
      </c>
      <c r="E91" s="417"/>
      <c r="F91" s="478"/>
      <c r="G91" s="102">
        <v>0</v>
      </c>
      <c r="H91" s="101"/>
      <c r="I91" s="53"/>
      <c r="J91" s="518"/>
      <c r="K91" s="522"/>
      <c r="L91" s="102">
        <v>0</v>
      </c>
      <c r="M91" s="101"/>
      <c r="N91" s="53"/>
      <c r="O91" s="518"/>
      <c r="P91" s="522"/>
      <c r="Q91" s="102">
        <v>0</v>
      </c>
      <c r="R91" s="101"/>
      <c r="S91" s="53"/>
      <c r="T91" s="518"/>
      <c r="U91" s="522"/>
      <c r="V91" s="102">
        <v>0</v>
      </c>
      <c r="W91" s="101"/>
      <c r="X91" s="53"/>
      <c r="Y91" s="518"/>
      <c r="Z91" s="522"/>
      <c r="AA91" s="102">
        <v>0</v>
      </c>
      <c r="AB91" s="101"/>
      <c r="AC91" s="53"/>
      <c r="AD91" s="518"/>
      <c r="AE91" s="522"/>
      <c r="AF91" s="102">
        <v>0</v>
      </c>
      <c r="AG91" s="101"/>
      <c r="AH91" s="53"/>
      <c r="AI91" s="518"/>
      <c r="AJ91" s="522"/>
      <c r="AK91" s="102">
        <v>0</v>
      </c>
      <c r="AL91" s="101"/>
      <c r="AM91" s="53"/>
      <c r="AN91" s="518"/>
      <c r="AO91" s="522"/>
      <c r="AP91" s="102">
        <v>0</v>
      </c>
      <c r="AQ91" s="101"/>
      <c r="AR91" s="53"/>
      <c r="AS91" s="518"/>
      <c r="AT91" s="522"/>
      <c r="AU91" s="102">
        <v>0</v>
      </c>
      <c r="AV91" s="101"/>
      <c r="AW91" s="53"/>
      <c r="AX91" s="518"/>
      <c r="AY91" s="522"/>
      <c r="AZ91" s="102">
        <v>0</v>
      </c>
      <c r="BA91" s="101"/>
      <c r="BB91" s="53"/>
      <c r="BC91" s="518"/>
      <c r="BD91" s="522"/>
      <c r="BE91" s="102">
        <v>0</v>
      </c>
      <c r="BF91" s="101"/>
      <c r="BG91" s="53"/>
      <c r="BH91" s="518"/>
      <c r="BI91" s="522"/>
      <c r="BJ91" s="102">
        <v>0</v>
      </c>
      <c r="BK91" s="101"/>
      <c r="BL91" s="53"/>
      <c r="BM91" s="518"/>
      <c r="BN91" s="522"/>
      <c r="BO91" s="102">
        <v>0</v>
      </c>
      <c r="BP91" s="101"/>
      <c r="BQ91" s="53"/>
      <c r="BR91" s="518"/>
      <c r="BS91" s="522"/>
      <c r="BT91" s="102">
        <f>SUM(L91:BO91)</f>
        <v>0</v>
      </c>
      <c r="BU91" s="101"/>
      <c r="BV91" s="53"/>
      <c r="BW91" s="465"/>
    </row>
    <row r="92" spans="1:75" ht="12.75" hidden="1" customHeight="1" x14ac:dyDescent="0.2">
      <c r="A92" s="377"/>
      <c r="B92" s="377"/>
      <c r="C92" s="377"/>
      <c r="D92" s="465"/>
      <c r="E92" s="417"/>
      <c r="F92" s="377"/>
      <c r="G92" s="53"/>
      <c r="H92" s="53"/>
      <c r="I92" s="53"/>
      <c r="J92" s="518"/>
      <c r="K92" s="53"/>
      <c r="L92" s="53"/>
      <c r="M92" s="53"/>
      <c r="N92" s="53"/>
      <c r="O92" s="518"/>
      <c r="P92" s="53"/>
      <c r="Q92" s="53"/>
      <c r="R92" s="53"/>
      <c r="S92" s="53"/>
      <c r="T92" s="518"/>
      <c r="U92" s="53"/>
      <c r="V92" s="53"/>
      <c r="W92" s="53"/>
      <c r="X92" s="53"/>
      <c r="Y92" s="518"/>
      <c r="Z92" s="53"/>
      <c r="AA92" s="53"/>
      <c r="AB92" s="53"/>
      <c r="AC92" s="53"/>
      <c r="AD92" s="518"/>
      <c r="AE92" s="53"/>
      <c r="AF92" s="53"/>
      <c r="AG92" s="53"/>
      <c r="AH92" s="53"/>
      <c r="AI92" s="518"/>
      <c r="AJ92" s="53"/>
      <c r="AK92" s="53"/>
      <c r="AL92" s="53"/>
      <c r="AM92" s="53"/>
      <c r="AN92" s="518"/>
      <c r="AO92" s="53"/>
      <c r="AP92" s="53"/>
      <c r="AQ92" s="53"/>
      <c r="AR92" s="53"/>
      <c r="AS92" s="518"/>
      <c r="AT92" s="53"/>
      <c r="AU92" s="53"/>
      <c r="AV92" s="53"/>
      <c r="AW92" s="53"/>
      <c r="AX92" s="518"/>
      <c r="AY92" s="53"/>
      <c r="AZ92" s="53"/>
      <c r="BA92" s="53"/>
      <c r="BB92" s="53"/>
      <c r="BC92" s="518"/>
      <c r="BD92" s="53"/>
      <c r="BE92" s="53"/>
      <c r="BF92" s="53"/>
      <c r="BG92" s="53"/>
      <c r="BH92" s="518"/>
      <c r="BI92" s="53"/>
      <c r="BJ92" s="53"/>
      <c r="BK92" s="53"/>
      <c r="BL92" s="53"/>
      <c r="BM92" s="518"/>
      <c r="BN92" s="53"/>
      <c r="BO92" s="53"/>
      <c r="BP92" s="53"/>
      <c r="BQ92" s="53"/>
      <c r="BR92" s="518"/>
      <c r="BS92" s="53"/>
      <c r="BT92" s="53"/>
      <c r="BU92" s="53"/>
      <c r="BV92" s="53"/>
      <c r="BW92" s="465"/>
    </row>
    <row r="93" spans="1:75" ht="12.75" hidden="1" customHeight="1" x14ac:dyDescent="0.2">
      <c r="A93" s="377"/>
      <c r="B93" s="377"/>
      <c r="C93" s="377"/>
      <c r="D93" s="465" t="s">
        <v>498</v>
      </c>
      <c r="E93" s="417"/>
      <c r="F93" s="377"/>
      <c r="G93" s="53">
        <v>0</v>
      </c>
      <c r="H93" s="53"/>
      <c r="I93" s="53"/>
      <c r="J93" s="518"/>
      <c r="K93" s="53"/>
      <c r="L93" s="53">
        <f>SUM(L94:L96)</f>
        <v>0</v>
      </c>
      <c r="M93" s="53"/>
      <c r="N93" s="53"/>
      <c r="O93" s="518"/>
      <c r="P93" s="53"/>
      <c r="Q93" s="53">
        <f>SUM(Q94:Q96)</f>
        <v>0</v>
      </c>
      <c r="R93" s="53"/>
      <c r="S93" s="53"/>
      <c r="T93" s="518"/>
      <c r="U93" s="53"/>
      <c r="V93" s="53">
        <f>SUM(V94:V96)</f>
        <v>0</v>
      </c>
      <c r="W93" s="53"/>
      <c r="X93" s="53"/>
      <c r="Y93" s="518"/>
      <c r="Z93" s="53"/>
      <c r="AA93" s="53">
        <f>SUM(AA94:AA96)</f>
        <v>0</v>
      </c>
      <c r="AB93" s="53"/>
      <c r="AC93" s="53"/>
      <c r="AD93" s="518"/>
      <c r="AE93" s="53"/>
      <c r="AF93" s="53">
        <f>SUM(AF94:AF96)</f>
        <v>0</v>
      </c>
      <c r="AG93" s="53"/>
      <c r="AH93" s="53"/>
      <c r="AI93" s="518"/>
      <c r="AJ93" s="53"/>
      <c r="AK93" s="53">
        <f>SUM(AK94:AK96)</f>
        <v>0</v>
      </c>
      <c r="AL93" s="53"/>
      <c r="AM93" s="53"/>
      <c r="AN93" s="518"/>
      <c r="AO93" s="53"/>
      <c r="AP93" s="53">
        <f>SUM(AP94:AP96)</f>
        <v>0</v>
      </c>
      <c r="AQ93" s="53"/>
      <c r="AR93" s="53"/>
      <c r="AS93" s="518"/>
      <c r="AT93" s="53"/>
      <c r="AU93" s="53">
        <f>SUM(AU94:AU96)</f>
        <v>0</v>
      </c>
      <c r="AV93" s="53"/>
      <c r="AW93" s="53"/>
      <c r="AX93" s="518"/>
      <c r="AY93" s="53"/>
      <c r="AZ93" s="53">
        <f>SUM(AZ94:AZ96)</f>
        <v>0</v>
      </c>
      <c r="BA93" s="53"/>
      <c r="BB93" s="53"/>
      <c r="BC93" s="518"/>
      <c r="BD93" s="53"/>
      <c r="BE93" s="53">
        <f>SUM(BE94:BE96)</f>
        <v>0</v>
      </c>
      <c r="BF93" s="53"/>
      <c r="BG93" s="53"/>
      <c r="BH93" s="518"/>
      <c r="BI93" s="53"/>
      <c r="BJ93" s="53">
        <f>SUM(BJ94:BJ96)</f>
        <v>0</v>
      </c>
      <c r="BK93" s="53"/>
      <c r="BL93" s="53"/>
      <c r="BM93" s="518"/>
      <c r="BN93" s="53"/>
      <c r="BO93" s="53">
        <f>SUM(BO94:BO96)</f>
        <v>0</v>
      </c>
      <c r="BP93" s="53"/>
      <c r="BQ93" s="53"/>
      <c r="BR93" s="518"/>
      <c r="BS93" s="53"/>
      <c r="BT93" s="53">
        <f>SUM(BT94:BT96)</f>
        <v>0</v>
      </c>
      <c r="BU93" s="53"/>
      <c r="BV93" s="53"/>
      <c r="BW93" s="465"/>
    </row>
    <row r="94" spans="1:75" ht="12.75" hidden="1" customHeight="1" x14ac:dyDescent="0.2">
      <c r="A94" s="377"/>
      <c r="B94" s="377"/>
      <c r="C94" s="377"/>
      <c r="D94" s="465" t="s">
        <v>378</v>
      </c>
      <c r="E94" s="417"/>
      <c r="F94" s="469"/>
      <c r="G94" s="520">
        <v>0</v>
      </c>
      <c r="H94" s="521"/>
      <c r="I94" s="53"/>
      <c r="J94" s="518"/>
      <c r="K94" s="519"/>
      <c r="L94" s="520">
        <v>0</v>
      </c>
      <c r="M94" s="521"/>
      <c r="N94" s="53"/>
      <c r="O94" s="518"/>
      <c r="P94" s="519"/>
      <c r="Q94" s="520">
        <v>0</v>
      </c>
      <c r="R94" s="521"/>
      <c r="S94" s="53"/>
      <c r="T94" s="518"/>
      <c r="U94" s="519"/>
      <c r="V94" s="520">
        <v>0</v>
      </c>
      <c r="W94" s="521"/>
      <c r="X94" s="53"/>
      <c r="Y94" s="518"/>
      <c r="Z94" s="519"/>
      <c r="AA94" s="520">
        <v>0</v>
      </c>
      <c r="AB94" s="521"/>
      <c r="AC94" s="53"/>
      <c r="AD94" s="518"/>
      <c r="AE94" s="519"/>
      <c r="AF94" s="520">
        <v>0</v>
      </c>
      <c r="AG94" s="521"/>
      <c r="AH94" s="53"/>
      <c r="AI94" s="518"/>
      <c r="AJ94" s="519"/>
      <c r="AK94" s="520">
        <v>0</v>
      </c>
      <c r="AL94" s="521"/>
      <c r="AM94" s="53"/>
      <c r="AN94" s="518"/>
      <c r="AO94" s="519"/>
      <c r="AP94" s="520">
        <v>0</v>
      </c>
      <c r="AQ94" s="521"/>
      <c r="AR94" s="53"/>
      <c r="AS94" s="518"/>
      <c r="AT94" s="519"/>
      <c r="AU94" s="520">
        <v>0</v>
      </c>
      <c r="AV94" s="521"/>
      <c r="AW94" s="53"/>
      <c r="AX94" s="518"/>
      <c r="AY94" s="519"/>
      <c r="AZ94" s="520">
        <v>0</v>
      </c>
      <c r="BA94" s="521"/>
      <c r="BB94" s="53"/>
      <c r="BC94" s="518"/>
      <c r="BD94" s="519"/>
      <c r="BE94" s="520">
        <v>0</v>
      </c>
      <c r="BF94" s="521"/>
      <c r="BG94" s="53"/>
      <c r="BH94" s="518"/>
      <c r="BI94" s="519"/>
      <c r="BJ94" s="520">
        <v>0</v>
      </c>
      <c r="BK94" s="521"/>
      <c r="BL94" s="53"/>
      <c r="BM94" s="518"/>
      <c r="BN94" s="519"/>
      <c r="BO94" s="520">
        <v>0</v>
      </c>
      <c r="BP94" s="521"/>
      <c r="BQ94" s="53"/>
      <c r="BR94" s="518"/>
      <c r="BS94" s="519"/>
      <c r="BT94" s="520">
        <f>SUM(L94:BO94)</f>
        <v>0</v>
      </c>
      <c r="BU94" s="521"/>
      <c r="BV94" s="53"/>
      <c r="BW94" s="465"/>
    </row>
    <row r="95" spans="1:75" ht="12.75" hidden="1" customHeight="1" x14ac:dyDescent="0.2">
      <c r="A95" s="377"/>
      <c r="B95" s="377"/>
      <c r="C95" s="377"/>
      <c r="D95" s="465" t="s">
        <v>380</v>
      </c>
      <c r="E95" s="417"/>
      <c r="F95" s="417"/>
      <c r="G95" s="53">
        <v>0</v>
      </c>
      <c r="H95" s="52"/>
      <c r="I95" s="53"/>
      <c r="J95" s="518"/>
      <c r="K95" s="518"/>
      <c r="L95" s="53">
        <v>0</v>
      </c>
      <c r="M95" s="52"/>
      <c r="N95" s="53"/>
      <c r="O95" s="518"/>
      <c r="P95" s="518"/>
      <c r="Q95" s="53">
        <v>0</v>
      </c>
      <c r="R95" s="52"/>
      <c r="S95" s="53"/>
      <c r="T95" s="518"/>
      <c r="U95" s="518"/>
      <c r="V95" s="53">
        <v>0</v>
      </c>
      <c r="W95" s="52"/>
      <c r="X95" s="53"/>
      <c r="Y95" s="518"/>
      <c r="Z95" s="518"/>
      <c r="AA95" s="53">
        <v>0</v>
      </c>
      <c r="AB95" s="52"/>
      <c r="AC95" s="53"/>
      <c r="AD95" s="518"/>
      <c r="AE95" s="518"/>
      <c r="AF95" s="53">
        <v>0</v>
      </c>
      <c r="AG95" s="52"/>
      <c r="AH95" s="53"/>
      <c r="AI95" s="518"/>
      <c r="AJ95" s="518"/>
      <c r="AK95" s="53">
        <v>0</v>
      </c>
      <c r="AL95" s="52"/>
      <c r="AM95" s="53"/>
      <c r="AN95" s="518"/>
      <c r="AO95" s="518"/>
      <c r="AP95" s="53">
        <v>0</v>
      </c>
      <c r="AQ95" s="52"/>
      <c r="AR95" s="53"/>
      <c r="AS95" s="518"/>
      <c r="AT95" s="518"/>
      <c r="AU95" s="53">
        <v>0</v>
      </c>
      <c r="AV95" s="52"/>
      <c r="AW95" s="53"/>
      <c r="AX95" s="518"/>
      <c r="AY95" s="518"/>
      <c r="AZ95" s="53">
        <v>0</v>
      </c>
      <c r="BA95" s="52"/>
      <c r="BB95" s="53"/>
      <c r="BC95" s="518"/>
      <c r="BD95" s="518"/>
      <c r="BE95" s="53">
        <v>0</v>
      </c>
      <c r="BF95" s="52"/>
      <c r="BG95" s="53"/>
      <c r="BH95" s="518"/>
      <c r="BI95" s="518"/>
      <c r="BJ95" s="53">
        <v>0</v>
      </c>
      <c r="BK95" s="52"/>
      <c r="BL95" s="53"/>
      <c r="BM95" s="518"/>
      <c r="BN95" s="518"/>
      <c r="BO95" s="53">
        <v>0</v>
      </c>
      <c r="BP95" s="52"/>
      <c r="BQ95" s="53"/>
      <c r="BR95" s="518"/>
      <c r="BS95" s="518"/>
      <c r="BT95" s="53">
        <f>SUM(L95:BO95)</f>
        <v>0</v>
      </c>
      <c r="BU95" s="52"/>
      <c r="BV95" s="53"/>
      <c r="BW95" s="465"/>
    </row>
    <row r="96" spans="1:75" ht="12.75" hidden="1" customHeight="1" x14ac:dyDescent="0.2">
      <c r="A96" s="377"/>
      <c r="B96" s="377"/>
      <c r="C96" s="377"/>
      <c r="D96" s="465" t="s">
        <v>388</v>
      </c>
      <c r="E96" s="417"/>
      <c r="F96" s="478"/>
      <c r="G96" s="102">
        <v>0</v>
      </c>
      <c r="H96" s="101"/>
      <c r="I96" s="53"/>
      <c r="J96" s="518"/>
      <c r="K96" s="522"/>
      <c r="L96" s="102">
        <v>0</v>
      </c>
      <c r="M96" s="101"/>
      <c r="N96" s="53"/>
      <c r="O96" s="518"/>
      <c r="P96" s="522"/>
      <c r="Q96" s="102">
        <v>0</v>
      </c>
      <c r="R96" s="101"/>
      <c r="S96" s="53"/>
      <c r="T96" s="518"/>
      <c r="U96" s="522"/>
      <c r="V96" s="102">
        <v>0</v>
      </c>
      <c r="W96" s="101"/>
      <c r="X96" s="53"/>
      <c r="Y96" s="518"/>
      <c r="Z96" s="522"/>
      <c r="AA96" s="102">
        <v>0</v>
      </c>
      <c r="AB96" s="101"/>
      <c r="AC96" s="53"/>
      <c r="AD96" s="518"/>
      <c r="AE96" s="522"/>
      <c r="AF96" s="102">
        <v>0</v>
      </c>
      <c r="AG96" s="101"/>
      <c r="AH96" s="53"/>
      <c r="AI96" s="518"/>
      <c r="AJ96" s="522"/>
      <c r="AK96" s="102">
        <v>0</v>
      </c>
      <c r="AL96" s="101"/>
      <c r="AM96" s="53"/>
      <c r="AN96" s="518"/>
      <c r="AO96" s="522"/>
      <c r="AP96" s="102">
        <v>0</v>
      </c>
      <c r="AQ96" s="101"/>
      <c r="AR96" s="53"/>
      <c r="AS96" s="518"/>
      <c r="AT96" s="522"/>
      <c r="AU96" s="102">
        <v>0</v>
      </c>
      <c r="AV96" s="101"/>
      <c r="AW96" s="53"/>
      <c r="AX96" s="518"/>
      <c r="AY96" s="522"/>
      <c r="AZ96" s="102">
        <v>0</v>
      </c>
      <c r="BA96" s="101"/>
      <c r="BB96" s="53"/>
      <c r="BC96" s="518"/>
      <c r="BD96" s="522"/>
      <c r="BE96" s="102">
        <v>0</v>
      </c>
      <c r="BF96" s="101"/>
      <c r="BG96" s="53"/>
      <c r="BH96" s="518"/>
      <c r="BI96" s="522"/>
      <c r="BJ96" s="102">
        <v>0</v>
      </c>
      <c r="BK96" s="101"/>
      <c r="BL96" s="53"/>
      <c r="BM96" s="518"/>
      <c r="BN96" s="522"/>
      <c r="BO96" s="102">
        <v>0</v>
      </c>
      <c r="BP96" s="101"/>
      <c r="BQ96" s="53"/>
      <c r="BR96" s="518"/>
      <c r="BS96" s="522"/>
      <c r="BT96" s="102">
        <f>SUM(L96:BO96)</f>
        <v>0</v>
      </c>
      <c r="BU96" s="101"/>
      <c r="BV96" s="53"/>
      <c r="BW96" s="465"/>
    </row>
    <row r="97" spans="1:75" ht="12.75" hidden="1" customHeight="1" x14ac:dyDescent="0.2">
      <c r="A97" s="377"/>
      <c r="B97" s="377"/>
      <c r="C97" s="377"/>
      <c r="D97" s="465"/>
      <c r="E97" s="417"/>
      <c r="F97" s="377"/>
      <c r="G97" s="53"/>
      <c r="H97" s="53"/>
      <c r="I97" s="53"/>
      <c r="J97" s="518"/>
      <c r="K97" s="53"/>
      <c r="L97" s="53"/>
      <c r="M97" s="53"/>
      <c r="N97" s="53"/>
      <c r="O97" s="518"/>
      <c r="P97" s="53"/>
      <c r="Q97" s="53"/>
      <c r="R97" s="53"/>
      <c r="S97" s="53"/>
      <c r="T97" s="518"/>
      <c r="U97" s="53"/>
      <c r="V97" s="53"/>
      <c r="W97" s="53"/>
      <c r="X97" s="53"/>
      <c r="Y97" s="518"/>
      <c r="Z97" s="53"/>
      <c r="AA97" s="53"/>
      <c r="AB97" s="53"/>
      <c r="AC97" s="53"/>
      <c r="AD97" s="518"/>
      <c r="AE97" s="53"/>
      <c r="AF97" s="53"/>
      <c r="AG97" s="53"/>
      <c r="AH97" s="53"/>
      <c r="AI97" s="518"/>
      <c r="AJ97" s="53"/>
      <c r="AK97" s="53"/>
      <c r="AL97" s="53"/>
      <c r="AM97" s="53"/>
      <c r="AN97" s="518"/>
      <c r="AO97" s="53"/>
      <c r="AP97" s="53"/>
      <c r="AQ97" s="53"/>
      <c r="AR97" s="53"/>
      <c r="AS97" s="518"/>
      <c r="AT97" s="53"/>
      <c r="AU97" s="53"/>
      <c r="AV97" s="53"/>
      <c r="AW97" s="53"/>
      <c r="AX97" s="518"/>
      <c r="AY97" s="53"/>
      <c r="AZ97" s="53"/>
      <c r="BA97" s="53"/>
      <c r="BB97" s="53"/>
      <c r="BC97" s="518"/>
      <c r="BD97" s="53"/>
      <c r="BE97" s="53"/>
      <c r="BF97" s="53"/>
      <c r="BG97" s="53"/>
      <c r="BH97" s="518"/>
      <c r="BI97" s="53"/>
      <c r="BJ97" s="53"/>
      <c r="BK97" s="53"/>
      <c r="BL97" s="53"/>
      <c r="BM97" s="518"/>
      <c r="BN97" s="53"/>
      <c r="BO97" s="53"/>
      <c r="BP97" s="53"/>
      <c r="BQ97" s="53"/>
      <c r="BR97" s="518"/>
      <c r="BS97" s="53"/>
      <c r="BT97" s="53"/>
      <c r="BU97" s="53"/>
      <c r="BV97" s="53"/>
      <c r="BW97" s="465"/>
    </row>
    <row r="98" spans="1:75" ht="12.75" hidden="1" customHeight="1" x14ac:dyDescent="0.2">
      <c r="A98" s="377"/>
      <c r="B98" s="377"/>
      <c r="C98" s="377"/>
      <c r="D98" s="465" t="s">
        <v>499</v>
      </c>
      <c r="E98" s="417"/>
      <c r="F98" s="377"/>
      <c r="G98" s="53">
        <v>0</v>
      </c>
      <c r="H98" s="53"/>
      <c r="I98" s="53"/>
      <c r="J98" s="518"/>
      <c r="K98" s="53"/>
      <c r="L98" s="53">
        <f>SUM(L99:L101)</f>
        <v>0</v>
      </c>
      <c r="M98" s="53"/>
      <c r="N98" s="53"/>
      <c r="O98" s="518"/>
      <c r="P98" s="53"/>
      <c r="Q98" s="53">
        <f>SUM(Q99:Q101)</f>
        <v>0</v>
      </c>
      <c r="R98" s="53"/>
      <c r="S98" s="53"/>
      <c r="T98" s="518"/>
      <c r="U98" s="53"/>
      <c r="V98" s="53">
        <f>SUM(V99:V101)</f>
        <v>0</v>
      </c>
      <c r="W98" s="53"/>
      <c r="X98" s="53"/>
      <c r="Y98" s="518"/>
      <c r="Z98" s="53"/>
      <c r="AA98" s="53">
        <f>SUM(AA99:AA101)</f>
        <v>0</v>
      </c>
      <c r="AB98" s="53"/>
      <c r="AC98" s="53"/>
      <c r="AD98" s="518"/>
      <c r="AE98" s="53"/>
      <c r="AF98" s="53">
        <f>SUM(AF99:AF101)</f>
        <v>0</v>
      </c>
      <c r="AG98" s="53"/>
      <c r="AH98" s="53"/>
      <c r="AI98" s="518"/>
      <c r="AJ98" s="53"/>
      <c r="AK98" s="53">
        <f>SUM(AK99:AK101)</f>
        <v>0</v>
      </c>
      <c r="AL98" s="53"/>
      <c r="AM98" s="53"/>
      <c r="AN98" s="518"/>
      <c r="AO98" s="53"/>
      <c r="AP98" s="53">
        <f>SUM(AP99:AP101)</f>
        <v>0</v>
      </c>
      <c r="AQ98" s="53"/>
      <c r="AR98" s="53"/>
      <c r="AS98" s="518"/>
      <c r="AT98" s="53"/>
      <c r="AU98" s="53">
        <f>SUM(AU99:AU101)</f>
        <v>0</v>
      </c>
      <c r="AV98" s="53"/>
      <c r="AW98" s="53"/>
      <c r="AX98" s="518"/>
      <c r="AY98" s="53"/>
      <c r="AZ98" s="53">
        <f>SUM(AZ99:AZ101)</f>
        <v>0</v>
      </c>
      <c r="BA98" s="53"/>
      <c r="BB98" s="53"/>
      <c r="BC98" s="518"/>
      <c r="BD98" s="53"/>
      <c r="BE98" s="53">
        <f>SUM(BE99:BE101)</f>
        <v>0</v>
      </c>
      <c r="BF98" s="53"/>
      <c r="BG98" s="53"/>
      <c r="BH98" s="518"/>
      <c r="BI98" s="53"/>
      <c r="BJ98" s="53">
        <f>SUM(BJ99:BJ101)</f>
        <v>0</v>
      </c>
      <c r="BK98" s="53"/>
      <c r="BL98" s="53"/>
      <c r="BM98" s="518"/>
      <c r="BN98" s="53"/>
      <c r="BO98" s="53">
        <f>SUM(BO99:BO101)</f>
        <v>0</v>
      </c>
      <c r="BP98" s="53"/>
      <c r="BQ98" s="53"/>
      <c r="BR98" s="518"/>
      <c r="BS98" s="53"/>
      <c r="BT98" s="53">
        <f>SUM(BT99:BT101)</f>
        <v>0</v>
      </c>
      <c r="BU98" s="53"/>
      <c r="BV98" s="53"/>
      <c r="BW98" s="465"/>
    </row>
    <row r="99" spans="1:75" ht="12.75" hidden="1" customHeight="1" x14ac:dyDescent="0.2">
      <c r="A99" s="377"/>
      <c r="B99" s="377"/>
      <c r="C99" s="377"/>
      <c r="D99" s="465" t="s">
        <v>378</v>
      </c>
      <c r="E99" s="417"/>
      <c r="F99" s="469"/>
      <c r="G99" s="520">
        <v>0</v>
      </c>
      <c r="H99" s="521"/>
      <c r="I99" s="53"/>
      <c r="J99" s="518"/>
      <c r="K99" s="519"/>
      <c r="L99" s="520">
        <v>0</v>
      </c>
      <c r="M99" s="521"/>
      <c r="N99" s="53"/>
      <c r="O99" s="518"/>
      <c r="P99" s="519"/>
      <c r="Q99" s="520">
        <v>0</v>
      </c>
      <c r="R99" s="521"/>
      <c r="S99" s="53"/>
      <c r="T99" s="518"/>
      <c r="U99" s="519"/>
      <c r="V99" s="520">
        <v>0</v>
      </c>
      <c r="W99" s="521"/>
      <c r="X99" s="53"/>
      <c r="Y99" s="518"/>
      <c r="Z99" s="519"/>
      <c r="AA99" s="520">
        <v>0</v>
      </c>
      <c r="AB99" s="521"/>
      <c r="AC99" s="53"/>
      <c r="AD99" s="518"/>
      <c r="AE99" s="519"/>
      <c r="AF99" s="520">
        <v>0</v>
      </c>
      <c r="AG99" s="521"/>
      <c r="AH99" s="53"/>
      <c r="AI99" s="518"/>
      <c r="AJ99" s="519"/>
      <c r="AK99" s="520">
        <v>0</v>
      </c>
      <c r="AL99" s="521"/>
      <c r="AM99" s="53"/>
      <c r="AN99" s="518"/>
      <c r="AO99" s="519"/>
      <c r="AP99" s="520">
        <v>0</v>
      </c>
      <c r="AQ99" s="521"/>
      <c r="AR99" s="53"/>
      <c r="AS99" s="518"/>
      <c r="AT99" s="519"/>
      <c r="AU99" s="520">
        <v>0</v>
      </c>
      <c r="AV99" s="521"/>
      <c r="AW99" s="53"/>
      <c r="AX99" s="518"/>
      <c r="AY99" s="519"/>
      <c r="AZ99" s="520">
        <v>0</v>
      </c>
      <c r="BA99" s="521"/>
      <c r="BB99" s="53"/>
      <c r="BC99" s="518"/>
      <c r="BD99" s="519"/>
      <c r="BE99" s="520">
        <v>0</v>
      </c>
      <c r="BF99" s="521"/>
      <c r="BG99" s="53"/>
      <c r="BH99" s="518"/>
      <c r="BI99" s="519"/>
      <c r="BJ99" s="520">
        <v>0</v>
      </c>
      <c r="BK99" s="521"/>
      <c r="BL99" s="53"/>
      <c r="BM99" s="518"/>
      <c r="BN99" s="519"/>
      <c r="BO99" s="520">
        <v>0</v>
      </c>
      <c r="BP99" s="521"/>
      <c r="BQ99" s="53"/>
      <c r="BR99" s="518"/>
      <c r="BS99" s="519"/>
      <c r="BT99" s="520">
        <f>SUM(L99:BO99)</f>
        <v>0</v>
      </c>
      <c r="BU99" s="521"/>
      <c r="BV99" s="53"/>
      <c r="BW99" s="465"/>
    </row>
    <row r="100" spans="1:75" ht="12.75" hidden="1" customHeight="1" x14ac:dyDescent="0.2">
      <c r="A100" s="377"/>
      <c r="B100" s="377"/>
      <c r="C100" s="377"/>
      <c r="D100" s="465" t="s">
        <v>380</v>
      </c>
      <c r="E100" s="417"/>
      <c r="F100" s="417"/>
      <c r="G100" s="53">
        <v>0</v>
      </c>
      <c r="H100" s="52"/>
      <c r="I100" s="53"/>
      <c r="J100" s="518"/>
      <c r="K100" s="518"/>
      <c r="L100" s="53">
        <v>0</v>
      </c>
      <c r="M100" s="52"/>
      <c r="N100" s="53"/>
      <c r="O100" s="518"/>
      <c r="P100" s="518"/>
      <c r="Q100" s="53">
        <v>0</v>
      </c>
      <c r="R100" s="52"/>
      <c r="S100" s="53"/>
      <c r="T100" s="518"/>
      <c r="U100" s="518"/>
      <c r="V100" s="53">
        <v>0</v>
      </c>
      <c r="W100" s="52"/>
      <c r="X100" s="53"/>
      <c r="Y100" s="518"/>
      <c r="Z100" s="518"/>
      <c r="AA100" s="53">
        <v>0</v>
      </c>
      <c r="AB100" s="52"/>
      <c r="AC100" s="53"/>
      <c r="AD100" s="518"/>
      <c r="AE100" s="518"/>
      <c r="AF100" s="53">
        <v>0</v>
      </c>
      <c r="AG100" s="52"/>
      <c r="AH100" s="53"/>
      <c r="AI100" s="518"/>
      <c r="AJ100" s="518"/>
      <c r="AK100" s="53">
        <v>0</v>
      </c>
      <c r="AL100" s="52"/>
      <c r="AM100" s="53"/>
      <c r="AN100" s="518"/>
      <c r="AO100" s="518"/>
      <c r="AP100" s="53">
        <v>0</v>
      </c>
      <c r="AQ100" s="52"/>
      <c r="AR100" s="53"/>
      <c r="AS100" s="518"/>
      <c r="AT100" s="518"/>
      <c r="AU100" s="53">
        <v>0</v>
      </c>
      <c r="AV100" s="52"/>
      <c r="AW100" s="53"/>
      <c r="AX100" s="518"/>
      <c r="AY100" s="518"/>
      <c r="AZ100" s="53">
        <v>0</v>
      </c>
      <c r="BA100" s="52"/>
      <c r="BB100" s="53"/>
      <c r="BC100" s="518"/>
      <c r="BD100" s="518"/>
      <c r="BE100" s="53">
        <v>0</v>
      </c>
      <c r="BF100" s="52"/>
      <c r="BG100" s="53"/>
      <c r="BH100" s="518"/>
      <c r="BI100" s="518"/>
      <c r="BJ100" s="53">
        <v>0</v>
      </c>
      <c r="BK100" s="52"/>
      <c r="BL100" s="53"/>
      <c r="BM100" s="518"/>
      <c r="BN100" s="518"/>
      <c r="BO100" s="53">
        <v>0</v>
      </c>
      <c r="BP100" s="52"/>
      <c r="BQ100" s="53"/>
      <c r="BR100" s="518"/>
      <c r="BS100" s="518"/>
      <c r="BT100" s="53">
        <f>SUM(L100:BO100)</f>
        <v>0</v>
      </c>
      <c r="BU100" s="52"/>
      <c r="BV100" s="53"/>
      <c r="BW100" s="465"/>
    </row>
    <row r="101" spans="1:75" ht="12.75" hidden="1" customHeight="1" x14ac:dyDescent="0.2">
      <c r="A101" s="377"/>
      <c r="B101" s="377"/>
      <c r="C101" s="377"/>
      <c r="D101" s="465" t="s">
        <v>388</v>
      </c>
      <c r="E101" s="417"/>
      <c r="F101" s="478"/>
      <c r="G101" s="102">
        <v>0</v>
      </c>
      <c r="H101" s="101"/>
      <c r="I101" s="53"/>
      <c r="J101" s="518"/>
      <c r="K101" s="522"/>
      <c r="L101" s="102">
        <v>0</v>
      </c>
      <c r="M101" s="101"/>
      <c r="N101" s="53"/>
      <c r="O101" s="518"/>
      <c r="P101" s="522"/>
      <c r="Q101" s="102">
        <v>0</v>
      </c>
      <c r="R101" s="101"/>
      <c r="S101" s="53"/>
      <c r="T101" s="518"/>
      <c r="U101" s="522"/>
      <c r="V101" s="102">
        <v>0</v>
      </c>
      <c r="W101" s="101"/>
      <c r="X101" s="53"/>
      <c r="Y101" s="518"/>
      <c r="Z101" s="522"/>
      <c r="AA101" s="102">
        <v>0</v>
      </c>
      <c r="AB101" s="101"/>
      <c r="AC101" s="53"/>
      <c r="AD101" s="518"/>
      <c r="AE101" s="522"/>
      <c r="AF101" s="102">
        <v>0</v>
      </c>
      <c r="AG101" s="101"/>
      <c r="AH101" s="53"/>
      <c r="AI101" s="518"/>
      <c r="AJ101" s="522"/>
      <c r="AK101" s="102">
        <v>0</v>
      </c>
      <c r="AL101" s="101"/>
      <c r="AM101" s="53"/>
      <c r="AN101" s="518"/>
      <c r="AO101" s="522"/>
      <c r="AP101" s="102">
        <v>0</v>
      </c>
      <c r="AQ101" s="101"/>
      <c r="AR101" s="53"/>
      <c r="AS101" s="518"/>
      <c r="AT101" s="522"/>
      <c r="AU101" s="102">
        <v>0</v>
      </c>
      <c r="AV101" s="101"/>
      <c r="AW101" s="53"/>
      <c r="AX101" s="518"/>
      <c r="AY101" s="522"/>
      <c r="AZ101" s="102">
        <v>0</v>
      </c>
      <c r="BA101" s="101"/>
      <c r="BB101" s="53"/>
      <c r="BC101" s="518"/>
      <c r="BD101" s="522"/>
      <c r="BE101" s="102">
        <v>0</v>
      </c>
      <c r="BF101" s="101"/>
      <c r="BG101" s="53"/>
      <c r="BH101" s="518"/>
      <c r="BI101" s="522"/>
      <c r="BJ101" s="102">
        <v>0</v>
      </c>
      <c r="BK101" s="101"/>
      <c r="BL101" s="53"/>
      <c r="BM101" s="518"/>
      <c r="BN101" s="522"/>
      <c r="BO101" s="102">
        <v>0</v>
      </c>
      <c r="BP101" s="101"/>
      <c r="BQ101" s="53"/>
      <c r="BR101" s="518"/>
      <c r="BS101" s="522"/>
      <c r="BT101" s="102">
        <f>SUM(L101:BO101)</f>
        <v>0</v>
      </c>
      <c r="BU101" s="101"/>
      <c r="BV101" s="53"/>
      <c r="BW101" s="465"/>
    </row>
    <row r="102" spans="1:75" x14ac:dyDescent="0.2">
      <c r="A102" s="377"/>
      <c r="B102" s="377"/>
      <c r="C102" s="377"/>
      <c r="D102" s="465"/>
      <c r="E102" s="417"/>
      <c r="F102" s="377"/>
      <c r="G102" s="53"/>
      <c r="H102" s="53"/>
      <c r="I102" s="53"/>
      <c r="J102" s="518"/>
      <c r="K102" s="53"/>
      <c r="L102" s="53"/>
      <c r="M102" s="53"/>
      <c r="N102" s="53"/>
      <c r="O102" s="518"/>
      <c r="P102" s="53"/>
      <c r="Q102" s="53"/>
      <c r="R102" s="53"/>
      <c r="S102" s="53"/>
      <c r="T102" s="518"/>
      <c r="U102" s="53"/>
      <c r="V102" s="53"/>
      <c r="W102" s="53"/>
      <c r="X102" s="53"/>
      <c r="Y102" s="518"/>
      <c r="Z102" s="53"/>
      <c r="AA102" s="53"/>
      <c r="AB102" s="53"/>
      <c r="AC102" s="53"/>
      <c r="AD102" s="518"/>
      <c r="AE102" s="53"/>
      <c r="AF102" s="53"/>
      <c r="AG102" s="53"/>
      <c r="AH102" s="53"/>
      <c r="AI102" s="518"/>
      <c r="AJ102" s="53"/>
      <c r="AK102" s="53"/>
      <c r="AL102" s="53"/>
      <c r="AM102" s="53"/>
      <c r="AN102" s="518"/>
      <c r="AO102" s="53"/>
      <c r="AP102" s="53"/>
      <c r="AQ102" s="53"/>
      <c r="AR102" s="53"/>
      <c r="AS102" s="518"/>
      <c r="AT102" s="53"/>
      <c r="AU102" s="53"/>
      <c r="AV102" s="53"/>
      <c r="AW102" s="53"/>
      <c r="AX102" s="518"/>
      <c r="AY102" s="53"/>
      <c r="AZ102" s="53"/>
      <c r="BA102" s="53"/>
      <c r="BB102" s="53"/>
      <c r="BC102" s="518"/>
      <c r="BD102" s="53"/>
      <c r="BE102" s="53"/>
      <c r="BF102" s="53"/>
      <c r="BG102" s="53"/>
      <c r="BH102" s="518"/>
      <c r="BI102" s="53"/>
      <c r="BJ102" s="53"/>
      <c r="BK102" s="53"/>
      <c r="BL102" s="53"/>
      <c r="BM102" s="518"/>
      <c r="BN102" s="53"/>
      <c r="BO102" s="53"/>
      <c r="BP102" s="53"/>
      <c r="BQ102" s="53"/>
      <c r="BR102" s="518"/>
      <c r="BS102" s="53"/>
      <c r="BT102" s="53"/>
      <c r="BU102" s="53"/>
      <c r="BV102" s="53"/>
      <c r="BW102" s="465"/>
    </row>
    <row r="103" spans="1:75" x14ac:dyDescent="0.2">
      <c r="A103" s="377"/>
      <c r="B103" s="377"/>
      <c r="D103" s="455" t="s">
        <v>500</v>
      </c>
      <c r="E103" s="417"/>
      <c r="F103" s="377"/>
      <c r="G103" s="527">
        <f>SUM(G104:G106)</f>
        <v>14662000</v>
      </c>
      <c r="H103" s="377"/>
      <c r="I103" s="377"/>
      <c r="J103" s="417"/>
      <c r="K103" s="377"/>
      <c r="L103" s="411">
        <f>SUM(L104:L106)</f>
        <v>777665</v>
      </c>
      <c r="M103" s="377"/>
      <c r="N103" s="377"/>
      <c r="O103" s="417"/>
      <c r="P103" s="377"/>
      <c r="Q103" s="411">
        <f>SUM(Q104:Q106)</f>
        <v>4931986</v>
      </c>
      <c r="R103" s="377"/>
      <c r="S103" s="377"/>
      <c r="T103" s="417"/>
      <c r="U103" s="377"/>
      <c r="V103" s="411">
        <f>SUM(V104:V106)</f>
        <v>8699700</v>
      </c>
      <c r="W103" s="377"/>
      <c r="X103" s="377"/>
      <c r="Y103" s="417"/>
      <c r="Z103" s="377"/>
      <c r="AA103" s="411">
        <f>SUM(AA104:AA106)</f>
        <v>0</v>
      </c>
      <c r="AB103" s="377"/>
      <c r="AC103" s="377"/>
      <c r="AD103" s="417"/>
      <c r="AE103" s="377"/>
      <c r="AF103" s="411">
        <f>SUM(AF104:AF106)</f>
        <v>0</v>
      </c>
      <c r="AG103" s="377"/>
      <c r="AH103" s="377"/>
      <c r="AI103" s="417"/>
      <c r="AJ103" s="377"/>
      <c r="AK103" s="411">
        <f>SUM(AK104:AK106)</f>
        <v>0</v>
      </c>
      <c r="AL103" s="377"/>
      <c r="AM103" s="377"/>
      <c r="AN103" s="417"/>
      <c r="AO103" s="377"/>
      <c r="AP103" s="411">
        <f>SUM(AP104:AP106)</f>
        <v>0</v>
      </c>
      <c r="AQ103" s="377"/>
      <c r="AR103" s="377"/>
      <c r="AS103" s="417"/>
      <c r="AT103" s="377"/>
      <c r="AU103" s="411">
        <f>SUM(AU104:AU106)</f>
        <v>0</v>
      </c>
      <c r="AV103" s="377"/>
      <c r="AW103" s="377"/>
      <c r="AX103" s="417"/>
      <c r="AY103" s="377"/>
      <c r="AZ103" s="411">
        <f>SUM(AZ104:AZ106)</f>
        <v>0</v>
      </c>
      <c r="BA103" s="377"/>
      <c r="BB103" s="377"/>
      <c r="BC103" s="417"/>
      <c r="BD103" s="377"/>
      <c r="BE103" s="411">
        <f>SUM(BE104:BE106)</f>
        <v>0</v>
      </c>
      <c r="BF103" s="377"/>
      <c r="BG103" s="377"/>
      <c r="BH103" s="417"/>
      <c r="BI103" s="377"/>
      <c r="BJ103" s="411">
        <f>SUM(BJ104:BJ106)</f>
        <v>0</v>
      </c>
      <c r="BK103" s="377"/>
      <c r="BL103" s="377"/>
      <c r="BM103" s="417"/>
      <c r="BN103" s="377"/>
      <c r="BO103" s="411">
        <f>SUM(BO104:BO106)</f>
        <v>0</v>
      </c>
      <c r="BP103" s="377"/>
      <c r="BQ103" s="377"/>
      <c r="BR103" s="417"/>
      <c r="BS103" s="377"/>
      <c r="BT103" s="411">
        <f>SUM(BT104:BT106)</f>
        <v>14409351</v>
      </c>
      <c r="BU103" s="377"/>
      <c r="BV103" s="377"/>
      <c r="BW103" s="465"/>
    </row>
    <row r="104" spans="1:75" x14ac:dyDescent="0.2">
      <c r="A104" s="377"/>
      <c r="B104" s="377"/>
      <c r="D104" s="258" t="s">
        <v>501</v>
      </c>
      <c r="E104" s="417"/>
      <c r="F104" s="469"/>
      <c r="G104" s="528">
        <f>G108</f>
        <v>14662000</v>
      </c>
      <c r="H104" s="529"/>
      <c r="I104" s="377"/>
      <c r="J104" s="417"/>
      <c r="K104" s="469"/>
      <c r="L104" s="466">
        <f>L108</f>
        <v>777665</v>
      </c>
      <c r="M104" s="529"/>
      <c r="N104" s="377"/>
      <c r="O104" s="417"/>
      <c r="P104" s="469"/>
      <c r="Q104" s="466">
        <f>Q108</f>
        <v>4931986</v>
      </c>
      <c r="R104" s="529"/>
      <c r="S104" s="377"/>
      <c r="T104" s="417"/>
      <c r="U104" s="469"/>
      <c r="V104" s="466">
        <f>V108</f>
        <v>8699700</v>
      </c>
      <c r="W104" s="529"/>
      <c r="X104" s="377"/>
      <c r="Y104" s="417"/>
      <c r="Z104" s="469"/>
      <c r="AA104" s="466">
        <f>AA108</f>
        <v>0</v>
      </c>
      <c r="AB104" s="529"/>
      <c r="AC104" s="377"/>
      <c r="AD104" s="417"/>
      <c r="AE104" s="469"/>
      <c r="AF104" s="466">
        <f>AF108</f>
        <v>0</v>
      </c>
      <c r="AG104" s="529"/>
      <c r="AH104" s="377"/>
      <c r="AI104" s="417"/>
      <c r="AJ104" s="469"/>
      <c r="AK104" s="466">
        <f>AK108</f>
        <v>0</v>
      </c>
      <c r="AL104" s="529"/>
      <c r="AM104" s="377"/>
      <c r="AN104" s="417"/>
      <c r="AO104" s="469"/>
      <c r="AP104" s="466">
        <f>AP108</f>
        <v>0</v>
      </c>
      <c r="AQ104" s="529"/>
      <c r="AR104" s="377"/>
      <c r="AS104" s="417"/>
      <c r="AT104" s="469"/>
      <c r="AU104" s="528">
        <f>AU108</f>
        <v>0</v>
      </c>
      <c r="AV104" s="529"/>
      <c r="AW104" s="377"/>
      <c r="AX104" s="417"/>
      <c r="AY104" s="469"/>
      <c r="AZ104" s="528">
        <f>AZ108</f>
        <v>0</v>
      </c>
      <c r="BA104" s="529"/>
      <c r="BB104" s="377"/>
      <c r="BC104" s="417"/>
      <c r="BD104" s="469"/>
      <c r="BE104" s="528">
        <f>BE108</f>
        <v>0</v>
      </c>
      <c r="BF104" s="529"/>
      <c r="BG104" s="377"/>
      <c r="BH104" s="417"/>
      <c r="BI104" s="469"/>
      <c r="BJ104" s="528">
        <f>BJ108</f>
        <v>0</v>
      </c>
      <c r="BK104" s="529"/>
      <c r="BL104" s="377"/>
      <c r="BM104" s="417"/>
      <c r="BN104" s="469"/>
      <c r="BO104" s="528">
        <f>BO108</f>
        <v>0</v>
      </c>
      <c r="BP104" s="529"/>
      <c r="BQ104" s="377"/>
      <c r="BR104" s="417"/>
      <c r="BS104" s="469"/>
      <c r="BT104" s="466">
        <f>BT108</f>
        <v>14409351</v>
      </c>
      <c r="BU104" s="529"/>
      <c r="BV104" s="377"/>
      <c r="BW104" s="465"/>
    </row>
    <row r="105" spans="1:75" x14ac:dyDescent="0.2">
      <c r="A105" s="377"/>
      <c r="B105" s="377"/>
      <c r="D105" s="258" t="s">
        <v>502</v>
      </c>
      <c r="E105" s="417"/>
      <c r="F105" s="417"/>
      <c r="G105" s="530">
        <f>G156</f>
        <v>0</v>
      </c>
      <c r="H105" s="531"/>
      <c r="I105" s="377"/>
      <c r="J105" s="417"/>
      <c r="K105" s="417"/>
      <c r="L105" s="377">
        <f>L156</f>
        <v>0</v>
      </c>
      <c r="M105" s="531"/>
      <c r="N105" s="377"/>
      <c r="O105" s="417"/>
      <c r="P105" s="417"/>
      <c r="Q105" s="377">
        <f>Q156</f>
        <v>0</v>
      </c>
      <c r="R105" s="531"/>
      <c r="S105" s="377"/>
      <c r="T105" s="417"/>
      <c r="U105" s="417"/>
      <c r="V105" s="377">
        <f>V156</f>
        <v>0</v>
      </c>
      <c r="W105" s="531"/>
      <c r="X105" s="377"/>
      <c r="Y105" s="417"/>
      <c r="Z105" s="417"/>
      <c r="AA105" s="377">
        <f>AA156</f>
        <v>0</v>
      </c>
      <c r="AB105" s="531"/>
      <c r="AC105" s="377"/>
      <c r="AD105" s="417"/>
      <c r="AE105" s="417"/>
      <c r="AF105" s="377">
        <f>AF156</f>
        <v>0</v>
      </c>
      <c r="AG105" s="531"/>
      <c r="AH105" s="377"/>
      <c r="AI105" s="417"/>
      <c r="AJ105" s="417"/>
      <c r="AK105" s="377">
        <f>AK156</f>
        <v>0</v>
      </c>
      <c r="AL105" s="531"/>
      <c r="AM105" s="377"/>
      <c r="AN105" s="417"/>
      <c r="AO105" s="417"/>
      <c r="AP105" s="377">
        <f>AP156</f>
        <v>0</v>
      </c>
      <c r="AQ105" s="531"/>
      <c r="AR105" s="377"/>
      <c r="AS105" s="417"/>
      <c r="AT105" s="417"/>
      <c r="AU105" s="530">
        <f>AU156</f>
        <v>0</v>
      </c>
      <c r="AV105" s="531"/>
      <c r="AW105" s="377"/>
      <c r="AX105" s="417"/>
      <c r="AY105" s="417"/>
      <c r="AZ105" s="530">
        <f>AZ156</f>
        <v>0</v>
      </c>
      <c r="BA105" s="531"/>
      <c r="BB105" s="377"/>
      <c r="BC105" s="417"/>
      <c r="BD105" s="417"/>
      <c r="BE105" s="530">
        <f>BE156</f>
        <v>0</v>
      </c>
      <c r="BF105" s="531"/>
      <c r="BG105" s="377"/>
      <c r="BH105" s="417"/>
      <c r="BI105" s="417"/>
      <c r="BJ105" s="530">
        <f>BJ156</f>
        <v>0</v>
      </c>
      <c r="BK105" s="531"/>
      <c r="BL105" s="377"/>
      <c r="BM105" s="417"/>
      <c r="BN105" s="417"/>
      <c r="BO105" s="530">
        <f>BO156</f>
        <v>0</v>
      </c>
      <c r="BP105" s="531"/>
      <c r="BQ105" s="377"/>
      <c r="BR105" s="417"/>
      <c r="BS105" s="417"/>
      <c r="BT105" s="377">
        <f>BT156</f>
        <v>0</v>
      </c>
      <c r="BU105" s="531"/>
      <c r="BV105" s="377"/>
      <c r="BW105" s="465"/>
    </row>
    <row r="106" spans="1:75" x14ac:dyDescent="0.2">
      <c r="A106" s="377"/>
      <c r="B106" s="377"/>
      <c r="D106" s="258" t="s">
        <v>503</v>
      </c>
      <c r="E106" s="417"/>
      <c r="F106" s="478"/>
      <c r="G106" s="532">
        <f>G168</f>
        <v>0</v>
      </c>
      <c r="H106" s="533"/>
      <c r="I106" s="377"/>
      <c r="J106" s="417"/>
      <c r="K106" s="478"/>
      <c r="L106" s="462">
        <f>L168</f>
        <v>0</v>
      </c>
      <c r="M106" s="533"/>
      <c r="N106" s="377"/>
      <c r="O106" s="417"/>
      <c r="P106" s="478"/>
      <c r="Q106" s="462">
        <f>Q168</f>
        <v>0</v>
      </c>
      <c r="R106" s="533"/>
      <c r="S106" s="377"/>
      <c r="T106" s="417"/>
      <c r="U106" s="478"/>
      <c r="V106" s="462">
        <f>V168</f>
        <v>0</v>
      </c>
      <c r="W106" s="533"/>
      <c r="X106" s="377"/>
      <c r="Y106" s="417"/>
      <c r="Z106" s="478"/>
      <c r="AA106" s="462">
        <f>AA168</f>
        <v>0</v>
      </c>
      <c r="AB106" s="533"/>
      <c r="AC106" s="377"/>
      <c r="AD106" s="417"/>
      <c r="AE106" s="478"/>
      <c r="AF106" s="462">
        <f>AF168</f>
        <v>0</v>
      </c>
      <c r="AG106" s="533"/>
      <c r="AH106" s="377"/>
      <c r="AI106" s="417"/>
      <c r="AJ106" s="478"/>
      <c r="AK106" s="462">
        <f>AK168</f>
        <v>0</v>
      </c>
      <c r="AL106" s="533"/>
      <c r="AM106" s="377"/>
      <c r="AN106" s="417"/>
      <c r="AO106" s="478"/>
      <c r="AP106" s="462">
        <f>AP168</f>
        <v>0</v>
      </c>
      <c r="AQ106" s="533"/>
      <c r="AR106" s="377"/>
      <c r="AS106" s="417"/>
      <c r="AT106" s="478"/>
      <c r="AU106" s="532">
        <f>AU168</f>
        <v>0</v>
      </c>
      <c r="AV106" s="533"/>
      <c r="AW106" s="377"/>
      <c r="AX106" s="417"/>
      <c r="AY106" s="478"/>
      <c r="AZ106" s="532">
        <f>AZ168</f>
        <v>0</v>
      </c>
      <c r="BA106" s="533"/>
      <c r="BB106" s="377"/>
      <c r="BC106" s="417"/>
      <c r="BD106" s="478"/>
      <c r="BE106" s="532">
        <f>BE168</f>
        <v>0</v>
      </c>
      <c r="BF106" s="533"/>
      <c r="BG106" s="377"/>
      <c r="BH106" s="417"/>
      <c r="BI106" s="478"/>
      <c r="BJ106" s="532">
        <f>BJ168</f>
        <v>0</v>
      </c>
      <c r="BK106" s="533"/>
      <c r="BL106" s="377"/>
      <c r="BM106" s="417"/>
      <c r="BN106" s="478"/>
      <c r="BO106" s="532">
        <f>BO168</f>
        <v>0</v>
      </c>
      <c r="BP106" s="533"/>
      <c r="BQ106" s="377"/>
      <c r="BR106" s="417"/>
      <c r="BS106" s="478"/>
      <c r="BT106" s="462">
        <f>BT168</f>
        <v>0</v>
      </c>
      <c r="BU106" s="533"/>
      <c r="BV106" s="377"/>
      <c r="BW106" s="465"/>
    </row>
    <row r="107" spans="1:75" x14ac:dyDescent="0.2">
      <c r="A107" s="377"/>
      <c r="B107" s="377"/>
      <c r="D107" s="465"/>
      <c r="E107" s="417"/>
      <c r="F107" s="377"/>
      <c r="G107" s="530"/>
      <c r="H107" s="377"/>
      <c r="I107" s="377"/>
      <c r="J107" s="417"/>
      <c r="K107" s="377"/>
      <c r="L107" s="377"/>
      <c r="M107" s="377"/>
      <c r="N107" s="377"/>
      <c r="O107" s="417"/>
      <c r="P107" s="377"/>
      <c r="Q107" s="377"/>
      <c r="R107" s="377"/>
      <c r="S107" s="377"/>
      <c r="T107" s="417"/>
      <c r="U107" s="377"/>
      <c r="V107" s="377"/>
      <c r="W107" s="377"/>
      <c r="X107" s="377"/>
      <c r="Y107" s="417"/>
      <c r="Z107" s="377"/>
      <c r="AA107" s="377"/>
      <c r="AB107" s="377"/>
      <c r="AC107" s="377"/>
      <c r="AD107" s="417"/>
      <c r="AE107" s="377"/>
      <c r="AF107" s="377"/>
      <c r="AG107" s="377"/>
      <c r="AH107" s="377"/>
      <c r="AI107" s="417"/>
      <c r="AJ107" s="377"/>
      <c r="AK107" s="377"/>
      <c r="AL107" s="377"/>
      <c r="AM107" s="377"/>
      <c r="AN107" s="417"/>
      <c r="AO107" s="377"/>
      <c r="AP107" s="377"/>
      <c r="AQ107" s="377"/>
      <c r="AR107" s="377"/>
      <c r="AS107" s="417"/>
      <c r="AT107" s="377"/>
      <c r="AU107" s="377"/>
      <c r="AV107" s="377"/>
      <c r="AW107" s="377"/>
      <c r="AX107" s="417"/>
      <c r="AY107" s="377"/>
      <c r="AZ107" s="377"/>
      <c r="BA107" s="377"/>
      <c r="BB107" s="377"/>
      <c r="BC107" s="417"/>
      <c r="BD107" s="377"/>
      <c r="BE107" s="377"/>
      <c r="BF107" s="377"/>
      <c r="BG107" s="377"/>
      <c r="BH107" s="417"/>
      <c r="BI107" s="377"/>
      <c r="BJ107" s="377"/>
      <c r="BK107" s="377"/>
      <c r="BL107" s="377"/>
      <c r="BM107" s="417"/>
      <c r="BN107" s="377"/>
      <c r="BO107" s="377"/>
      <c r="BP107" s="377"/>
      <c r="BQ107" s="377"/>
      <c r="BR107" s="417"/>
      <c r="BS107" s="377"/>
      <c r="BT107" s="377"/>
      <c r="BU107" s="377"/>
      <c r="BV107" s="377"/>
      <c r="BW107" s="465"/>
    </row>
    <row r="108" spans="1:75" x14ac:dyDescent="0.2">
      <c r="A108" s="377"/>
      <c r="B108" s="377"/>
      <c r="C108" s="377"/>
      <c r="D108" s="465" t="s">
        <v>504</v>
      </c>
      <c r="E108" s="417"/>
      <c r="F108" s="377"/>
      <c r="G108" s="53">
        <f>SUM(G109:G110)</f>
        <v>14662000</v>
      </c>
      <c r="H108" s="53"/>
      <c r="I108" s="53"/>
      <c r="J108" s="518"/>
      <c r="K108" s="53"/>
      <c r="L108" s="53">
        <f>SUM(L109:L110)</f>
        <v>777665</v>
      </c>
      <c r="M108" s="53"/>
      <c r="N108" s="53"/>
      <c r="O108" s="518"/>
      <c r="P108" s="53"/>
      <c r="Q108" s="53">
        <f>SUM(Q109:Q110)</f>
        <v>4931986</v>
      </c>
      <c r="R108" s="53"/>
      <c r="S108" s="53"/>
      <c r="T108" s="518"/>
      <c r="U108" s="53"/>
      <c r="V108" s="53">
        <f>SUM(V109:V110)</f>
        <v>8699700</v>
      </c>
      <c r="W108" s="53"/>
      <c r="X108" s="53"/>
      <c r="Y108" s="518"/>
      <c r="Z108" s="53"/>
      <c r="AA108" s="53">
        <f>SUM(AA109:AA110)</f>
        <v>0</v>
      </c>
      <c r="AB108" s="53"/>
      <c r="AC108" s="53"/>
      <c r="AD108" s="518"/>
      <c r="AE108" s="53"/>
      <c r="AF108" s="53">
        <f>SUM(AF109:AF110)</f>
        <v>0</v>
      </c>
      <c r="AG108" s="53"/>
      <c r="AH108" s="53"/>
      <c r="AI108" s="518"/>
      <c r="AJ108" s="53"/>
      <c r="AK108" s="53">
        <f>SUM(AK109:AK110)</f>
        <v>0</v>
      </c>
      <c r="AL108" s="53"/>
      <c r="AM108" s="53"/>
      <c r="AN108" s="518"/>
      <c r="AO108" s="53"/>
      <c r="AP108" s="53">
        <f>SUM(AP109:AP110)</f>
        <v>0</v>
      </c>
      <c r="AQ108" s="53"/>
      <c r="AR108" s="53"/>
      <c r="AS108" s="518"/>
      <c r="AT108" s="53"/>
      <c r="AU108" s="53">
        <f>SUM(AU109:AU110)</f>
        <v>0</v>
      </c>
      <c r="AV108" s="53"/>
      <c r="AW108" s="53"/>
      <c r="AX108" s="518"/>
      <c r="AY108" s="53"/>
      <c r="AZ108" s="53">
        <f>SUM(AZ109:AZ110)</f>
        <v>0</v>
      </c>
      <c r="BA108" s="53"/>
      <c r="BB108" s="53"/>
      <c r="BC108" s="518"/>
      <c r="BD108" s="53"/>
      <c r="BE108" s="53">
        <f>SUM(BE109:BE110)</f>
        <v>0</v>
      </c>
      <c r="BF108" s="53"/>
      <c r="BG108" s="53"/>
      <c r="BH108" s="518"/>
      <c r="BI108" s="53"/>
      <c r="BJ108" s="53">
        <f>SUM(BJ109:BJ110)</f>
        <v>0</v>
      </c>
      <c r="BK108" s="53"/>
      <c r="BL108" s="53"/>
      <c r="BM108" s="518"/>
      <c r="BN108" s="53"/>
      <c r="BO108" s="53">
        <f>SUM(BO109:BO110)</f>
        <v>0</v>
      </c>
      <c r="BP108" s="53"/>
      <c r="BQ108" s="53"/>
      <c r="BR108" s="518"/>
      <c r="BS108" s="53"/>
      <c r="BT108" s="53">
        <f>SUM(BT109:BT110)</f>
        <v>14409351</v>
      </c>
      <c r="BU108" s="53"/>
      <c r="BV108" s="53"/>
      <c r="BW108" s="465"/>
    </row>
    <row r="109" spans="1:75" x14ac:dyDescent="0.2">
      <c r="A109" s="377"/>
      <c r="B109" s="377"/>
      <c r="C109" s="377"/>
      <c r="D109" s="465" t="s">
        <v>505</v>
      </c>
      <c r="E109" s="417"/>
      <c r="F109" s="469"/>
      <c r="G109" s="520">
        <f>+G113+G121+G125+G129+G133+G137+G117+G141+G149+G153+G145</f>
        <v>7961000</v>
      </c>
      <c r="H109" s="521"/>
      <c r="I109" s="53"/>
      <c r="J109" s="518"/>
      <c r="K109" s="519"/>
      <c r="L109" s="520">
        <f>+L113+L121+L125+L129+L133+L137+L117+L141+L149+L153+L145</f>
        <v>391647</v>
      </c>
      <c r="M109" s="521"/>
      <c r="N109" s="53"/>
      <c r="O109" s="518"/>
      <c r="P109" s="519"/>
      <c r="Q109" s="520">
        <f>+Q113+Q121+Q125+Q129+Q133+Q137+Q117+Q141+Q149+Q153+Q145</f>
        <v>1962723</v>
      </c>
      <c r="R109" s="521"/>
      <c r="S109" s="53"/>
      <c r="T109" s="518"/>
      <c r="U109" s="519"/>
      <c r="V109" s="520">
        <f>+V113+V121+V125+V129+V133+V137+V117+V141+V149+V153+V145</f>
        <v>5604275</v>
      </c>
      <c r="W109" s="521"/>
      <c r="X109" s="53"/>
      <c r="Y109" s="518"/>
      <c r="Z109" s="519"/>
      <c r="AA109" s="520">
        <f>+AA113+AA121+AA125+AA129+AA133+AA137+AA117+AA141+AA149+AA153+AA145</f>
        <v>0</v>
      </c>
      <c r="AB109" s="521"/>
      <c r="AC109" s="53"/>
      <c r="AD109" s="518"/>
      <c r="AE109" s="519"/>
      <c r="AF109" s="520">
        <f>+AF113+AF121+AF125+AF129+AF133+AF137+AF117+AF141+AF149+AF153+AF145</f>
        <v>0</v>
      </c>
      <c r="AG109" s="521"/>
      <c r="AH109" s="53"/>
      <c r="AI109" s="518"/>
      <c r="AJ109" s="519"/>
      <c r="AK109" s="520">
        <f>+AK113+AK121+AK125+AK129+AK133+AK137+AK117+AK141+AK149+AK153+AK145</f>
        <v>0</v>
      </c>
      <c r="AL109" s="521"/>
      <c r="AM109" s="53"/>
      <c r="AN109" s="518"/>
      <c r="AO109" s="519"/>
      <c r="AP109" s="520">
        <v>0</v>
      </c>
      <c r="AQ109" s="521"/>
      <c r="AR109" s="53"/>
      <c r="AS109" s="518"/>
      <c r="AT109" s="519"/>
      <c r="AU109" s="520">
        <v>0</v>
      </c>
      <c r="AV109" s="521"/>
      <c r="AW109" s="53"/>
      <c r="AX109" s="518"/>
      <c r="AY109" s="519"/>
      <c r="AZ109" s="520">
        <f>+AZ113+AZ121+AZ125+AZ129+AZ133+AZ137+AZ117+AZ141+AZ149+AZ153+AZ145</f>
        <v>0</v>
      </c>
      <c r="BA109" s="521"/>
      <c r="BB109" s="53"/>
      <c r="BC109" s="518"/>
      <c r="BD109" s="519"/>
      <c r="BE109" s="520">
        <f>+BE113+BE121+BE125+BE129+BE133+BE137+BE117+BE141+BE149+BE153+BE145</f>
        <v>0</v>
      </c>
      <c r="BF109" s="521"/>
      <c r="BG109" s="53"/>
      <c r="BH109" s="518"/>
      <c r="BI109" s="519"/>
      <c r="BJ109" s="520">
        <f>+BJ113+BJ121+BJ125+BJ129+BJ133+BJ137+BJ117+BJ141+BJ149+BJ153+BJ145</f>
        <v>0</v>
      </c>
      <c r="BK109" s="521"/>
      <c r="BL109" s="53"/>
      <c r="BM109" s="518"/>
      <c r="BN109" s="519"/>
      <c r="BO109" s="520">
        <v>0</v>
      </c>
      <c r="BP109" s="521"/>
      <c r="BQ109" s="53"/>
      <c r="BR109" s="518"/>
      <c r="BS109" s="519"/>
      <c r="BT109" s="520">
        <f>+BT113+BT121+BT125+BT129+BT133+BT137+BT117+BT141+BT149+BT153+BT145</f>
        <v>7958645</v>
      </c>
      <c r="BU109" s="521"/>
      <c r="BV109" s="53"/>
      <c r="BW109" s="465"/>
    </row>
    <row r="110" spans="1:75" x14ac:dyDescent="0.2">
      <c r="A110" s="377"/>
      <c r="B110" s="377"/>
      <c r="C110" s="377"/>
      <c r="D110" s="465" t="s">
        <v>506</v>
      </c>
      <c r="E110" s="417"/>
      <c r="F110" s="478"/>
      <c r="G110" s="102">
        <f>+G114+G122+G126+G130+G134+G138+G118+G142+G150+G154+G146</f>
        <v>6701000</v>
      </c>
      <c r="H110" s="101"/>
      <c r="I110" s="53"/>
      <c r="J110" s="518"/>
      <c r="K110" s="522"/>
      <c r="L110" s="102">
        <f>+L114+L122+L126+L130+L134+L138+L118+L142+L150+L154+L146</f>
        <v>386018</v>
      </c>
      <c r="M110" s="101"/>
      <c r="N110" s="53"/>
      <c r="O110" s="518"/>
      <c r="P110" s="522"/>
      <c r="Q110" s="102">
        <f>+Q114+Q122+Q126+Q130+Q134+Q138+Q118+Q142+Q150+Q154+Q146</f>
        <v>2969263</v>
      </c>
      <c r="R110" s="101"/>
      <c r="S110" s="53"/>
      <c r="T110" s="518"/>
      <c r="U110" s="522"/>
      <c r="V110" s="102">
        <f>+V114+V122+V126+V130+V134+V138+V118+V142+V150+V154+V146</f>
        <v>3095425</v>
      </c>
      <c r="W110" s="101"/>
      <c r="X110" s="53"/>
      <c r="Y110" s="518"/>
      <c r="Z110" s="522"/>
      <c r="AA110" s="102">
        <f>+AA114+AA122+AA126+AA130+AA134+AA138+AA118+AA142+AA150+AA154+AA146</f>
        <v>0</v>
      </c>
      <c r="AB110" s="101"/>
      <c r="AC110" s="53"/>
      <c r="AD110" s="518"/>
      <c r="AE110" s="522"/>
      <c r="AF110" s="102">
        <f>+AF114+AF122+AF126+AF130+AF134+AF138+AF118+AF142+AF150+AF154+AF146</f>
        <v>0</v>
      </c>
      <c r="AG110" s="101"/>
      <c r="AH110" s="53"/>
      <c r="AI110" s="518"/>
      <c r="AJ110" s="522"/>
      <c r="AK110" s="102">
        <f>+AK114+AK122+AK126+AK130+AK134+AK138+AK118+AK142+AK150+AK154+AK146</f>
        <v>0</v>
      </c>
      <c r="AL110" s="101"/>
      <c r="AM110" s="53"/>
      <c r="AN110" s="518"/>
      <c r="AO110" s="522"/>
      <c r="AP110" s="102">
        <v>0</v>
      </c>
      <c r="AQ110" s="101"/>
      <c r="AR110" s="53"/>
      <c r="AS110" s="518"/>
      <c r="AT110" s="522"/>
      <c r="AU110" s="102">
        <v>0</v>
      </c>
      <c r="AV110" s="101"/>
      <c r="AW110" s="53"/>
      <c r="AX110" s="518"/>
      <c r="AY110" s="522"/>
      <c r="AZ110" s="102">
        <f>+AZ114+AZ122+AZ126+AZ130+AZ134+AZ138+AZ118+AZ142+AZ150+AZ154+AZ146</f>
        <v>0</v>
      </c>
      <c r="BA110" s="101"/>
      <c r="BB110" s="53"/>
      <c r="BC110" s="518"/>
      <c r="BD110" s="522"/>
      <c r="BE110" s="102">
        <f>+BE114+BE122+BE126+BE130+BE134+BE138+BE118+BE142+BE150+BE154+BE146</f>
        <v>0</v>
      </c>
      <c r="BF110" s="101"/>
      <c r="BG110" s="53"/>
      <c r="BH110" s="518"/>
      <c r="BI110" s="522"/>
      <c r="BJ110" s="102">
        <f>+BJ114+BJ122+BJ126+BJ130+BJ134+BJ138+BJ118+BJ142+BJ150+BJ154+BJ146</f>
        <v>0</v>
      </c>
      <c r="BK110" s="101"/>
      <c r="BL110" s="53"/>
      <c r="BM110" s="518"/>
      <c r="BN110" s="522"/>
      <c r="BO110" s="102">
        <v>0</v>
      </c>
      <c r="BP110" s="101"/>
      <c r="BQ110" s="53"/>
      <c r="BR110" s="518"/>
      <c r="BS110" s="522"/>
      <c r="BT110" s="102">
        <f>+BT114+BT122+BT126+BT130+BT134+BT138+BT118+BT142+BT150+BT154+BT146</f>
        <v>6450706</v>
      </c>
      <c r="BU110" s="101"/>
      <c r="BV110" s="53"/>
      <c r="BW110" s="465"/>
    </row>
    <row r="111" spans="1:75" x14ac:dyDescent="0.2">
      <c r="A111" s="377"/>
      <c r="B111" s="377"/>
      <c r="C111" s="377"/>
      <c r="D111" s="465"/>
      <c r="E111" s="417"/>
      <c r="F111" s="377"/>
      <c r="G111" s="53"/>
      <c r="H111" s="53"/>
      <c r="I111" s="53"/>
      <c r="J111" s="518"/>
      <c r="K111" s="53"/>
      <c r="L111" s="53"/>
      <c r="M111" s="53"/>
      <c r="N111" s="53"/>
      <c r="O111" s="518"/>
      <c r="P111" s="53"/>
      <c r="Q111" s="53"/>
      <c r="R111" s="53"/>
      <c r="S111" s="53"/>
      <c r="T111" s="518"/>
      <c r="U111" s="53"/>
      <c r="V111" s="53"/>
      <c r="W111" s="53"/>
      <c r="X111" s="53"/>
      <c r="Y111" s="518"/>
      <c r="Z111" s="53"/>
      <c r="AA111" s="53"/>
      <c r="AB111" s="53"/>
      <c r="AC111" s="53"/>
      <c r="AD111" s="518"/>
      <c r="AE111" s="53"/>
      <c r="AF111" s="53"/>
      <c r="AG111" s="53"/>
      <c r="AH111" s="53"/>
      <c r="AI111" s="518"/>
      <c r="AJ111" s="53"/>
      <c r="AK111" s="53"/>
      <c r="AL111" s="53"/>
      <c r="AM111" s="53"/>
      <c r="AN111" s="518"/>
      <c r="AO111" s="53"/>
      <c r="AP111" s="53"/>
      <c r="AQ111" s="53"/>
      <c r="AR111" s="53"/>
      <c r="AS111" s="518"/>
      <c r="AT111" s="53"/>
      <c r="AU111" s="53"/>
      <c r="AV111" s="53"/>
      <c r="AW111" s="53"/>
      <c r="AX111" s="518"/>
      <c r="AY111" s="53"/>
      <c r="AZ111" s="53"/>
      <c r="BA111" s="53"/>
      <c r="BB111" s="53"/>
      <c r="BC111" s="518"/>
      <c r="BD111" s="53"/>
      <c r="BE111" s="53"/>
      <c r="BF111" s="53"/>
      <c r="BG111" s="53"/>
      <c r="BH111" s="518"/>
      <c r="BI111" s="53"/>
      <c r="BJ111" s="53"/>
      <c r="BK111" s="53"/>
      <c r="BL111" s="53"/>
      <c r="BM111" s="518"/>
      <c r="BN111" s="53"/>
      <c r="BO111" s="53"/>
      <c r="BP111" s="53"/>
      <c r="BQ111" s="53"/>
      <c r="BR111" s="518"/>
      <c r="BS111" s="53"/>
      <c r="BT111" s="53"/>
      <c r="BU111" s="53"/>
      <c r="BV111" s="53"/>
      <c r="BW111" s="465"/>
    </row>
    <row r="112" spans="1:75" x14ac:dyDescent="0.2">
      <c r="A112" s="377"/>
      <c r="B112" s="377"/>
      <c r="C112" s="377"/>
      <c r="D112" s="465" t="s">
        <v>507</v>
      </c>
      <c r="E112" s="417"/>
      <c r="F112" s="377"/>
      <c r="G112" s="53">
        <f>SUM(G113:G114)</f>
        <v>8000</v>
      </c>
      <c r="H112" s="53"/>
      <c r="I112" s="53"/>
      <c r="J112" s="518"/>
      <c r="K112" s="53"/>
      <c r="L112" s="53">
        <f>SUM(L113:L114)</f>
        <v>0</v>
      </c>
      <c r="M112" s="53"/>
      <c r="N112" s="53"/>
      <c r="O112" s="518"/>
      <c r="P112" s="53"/>
      <c r="Q112" s="53">
        <f>SUM(Q113:Q114)</f>
        <v>0</v>
      </c>
      <c r="R112" s="53"/>
      <c r="S112" s="53"/>
      <c r="T112" s="518"/>
      <c r="U112" s="53"/>
      <c r="V112" s="53">
        <f>SUM(V113:V114)</f>
        <v>0</v>
      </c>
      <c r="W112" s="53"/>
      <c r="X112" s="53"/>
      <c r="Y112" s="518"/>
      <c r="Z112" s="53"/>
      <c r="AA112" s="53">
        <f>SUM(AA113:AA114)</f>
        <v>0</v>
      </c>
      <c r="AB112" s="53"/>
      <c r="AC112" s="53"/>
      <c r="AD112" s="518"/>
      <c r="AE112" s="53"/>
      <c r="AF112" s="53">
        <f>SUM(AF113:AF114)</f>
        <v>0</v>
      </c>
      <c r="AG112" s="53"/>
      <c r="AH112" s="53"/>
      <c r="AI112" s="518"/>
      <c r="AJ112" s="53"/>
      <c r="AK112" s="53">
        <f>SUM(AK113:AK114)</f>
        <v>0</v>
      </c>
      <c r="AL112" s="53"/>
      <c r="AM112" s="53"/>
      <c r="AN112" s="518"/>
      <c r="AO112" s="53"/>
      <c r="AP112" s="53">
        <f>SUM(AP113:AP114)</f>
        <v>0</v>
      </c>
      <c r="AQ112" s="53"/>
      <c r="AR112" s="53"/>
      <c r="AS112" s="518"/>
      <c r="AT112" s="53"/>
      <c r="AU112" s="53">
        <f>SUM(AU113:AU114)</f>
        <v>0</v>
      </c>
      <c r="AV112" s="53"/>
      <c r="AW112" s="53"/>
      <c r="AX112" s="518"/>
      <c r="AY112" s="53"/>
      <c r="AZ112" s="53">
        <f>SUM(AZ113:AZ114)</f>
        <v>0</v>
      </c>
      <c r="BA112" s="53"/>
      <c r="BB112" s="53"/>
      <c r="BC112" s="518"/>
      <c r="BD112" s="53"/>
      <c r="BE112" s="53">
        <f>SUM(BE113:BE114)</f>
        <v>0</v>
      </c>
      <c r="BF112" s="53"/>
      <c r="BG112" s="53"/>
      <c r="BH112" s="518"/>
      <c r="BI112" s="53"/>
      <c r="BJ112" s="53">
        <f>SUM(BJ113:BJ114)</f>
        <v>0</v>
      </c>
      <c r="BK112" s="53"/>
      <c r="BL112" s="53"/>
      <c r="BM112" s="518"/>
      <c r="BN112" s="53"/>
      <c r="BO112" s="53">
        <f>SUM(BO113:BO114)</f>
        <v>0</v>
      </c>
      <c r="BP112" s="53"/>
      <c r="BQ112" s="53"/>
      <c r="BR112" s="518"/>
      <c r="BS112" s="53"/>
      <c r="BT112" s="53">
        <f>SUM(BT113:BT114)</f>
        <v>0</v>
      </c>
      <c r="BU112" s="53"/>
      <c r="BV112" s="53"/>
      <c r="BW112" s="465"/>
    </row>
    <row r="113" spans="1:75" x14ac:dyDescent="0.2">
      <c r="A113" s="377"/>
      <c r="B113" s="377"/>
      <c r="C113" s="377"/>
      <c r="D113" s="465" t="s">
        <v>505</v>
      </c>
      <c r="E113" s="417"/>
      <c r="F113" s="469"/>
      <c r="G113" s="520">
        <v>2000</v>
      </c>
      <c r="H113" s="521"/>
      <c r="I113" s="53"/>
      <c r="J113" s="518"/>
      <c r="K113" s="519"/>
      <c r="L113" s="520">
        <v>0</v>
      </c>
      <c r="M113" s="521"/>
      <c r="N113" s="53"/>
      <c r="O113" s="518"/>
      <c r="P113" s="519"/>
      <c r="Q113" s="520">
        <v>0</v>
      </c>
      <c r="R113" s="521"/>
      <c r="S113" s="53"/>
      <c r="T113" s="518"/>
      <c r="U113" s="519"/>
      <c r="V113" s="520">
        <v>0</v>
      </c>
      <c r="W113" s="521"/>
      <c r="X113" s="53"/>
      <c r="Y113" s="518"/>
      <c r="Z113" s="519"/>
      <c r="AA113" s="520">
        <v>0</v>
      </c>
      <c r="AB113" s="521"/>
      <c r="AC113" s="53"/>
      <c r="AD113" s="518"/>
      <c r="AE113" s="519"/>
      <c r="AF113" s="520">
        <v>0</v>
      </c>
      <c r="AG113" s="521"/>
      <c r="AH113" s="53"/>
      <c r="AI113" s="518"/>
      <c r="AJ113" s="519"/>
      <c r="AK113" s="520">
        <v>0</v>
      </c>
      <c r="AL113" s="521"/>
      <c r="AM113" s="53"/>
      <c r="AN113" s="518"/>
      <c r="AO113" s="519"/>
      <c r="AP113" s="520">
        <v>0</v>
      </c>
      <c r="AQ113" s="521"/>
      <c r="AR113" s="53"/>
      <c r="AS113" s="518"/>
      <c r="AT113" s="519"/>
      <c r="AU113" s="520">
        <v>0</v>
      </c>
      <c r="AV113" s="521"/>
      <c r="AW113" s="53"/>
      <c r="AX113" s="518"/>
      <c r="AY113" s="519"/>
      <c r="AZ113" s="520">
        <v>0</v>
      </c>
      <c r="BA113" s="521"/>
      <c r="BB113" s="53"/>
      <c r="BC113" s="518"/>
      <c r="BD113" s="519"/>
      <c r="BE113" s="520">
        <v>0</v>
      </c>
      <c r="BF113" s="521"/>
      <c r="BG113" s="53"/>
      <c r="BH113" s="518"/>
      <c r="BI113" s="519"/>
      <c r="BJ113" s="520">
        <v>0</v>
      </c>
      <c r="BK113" s="521"/>
      <c r="BL113" s="53"/>
      <c r="BM113" s="518"/>
      <c r="BN113" s="519"/>
      <c r="BO113" s="520">
        <v>0</v>
      </c>
      <c r="BP113" s="521"/>
      <c r="BQ113" s="53"/>
      <c r="BR113" s="518"/>
      <c r="BS113" s="519"/>
      <c r="BT113" s="520">
        <f>SUM(L113:BO113)</f>
        <v>0</v>
      </c>
      <c r="BU113" s="521"/>
      <c r="BV113" s="53"/>
      <c r="BW113" s="465"/>
    </row>
    <row r="114" spans="1:75" x14ac:dyDescent="0.2">
      <c r="A114" s="377"/>
      <c r="B114" s="377"/>
      <c r="C114" s="377"/>
      <c r="D114" s="465" t="s">
        <v>506</v>
      </c>
      <c r="E114" s="417"/>
      <c r="F114" s="478"/>
      <c r="G114" s="102">
        <v>6000</v>
      </c>
      <c r="H114" s="101"/>
      <c r="I114" s="53"/>
      <c r="J114" s="518"/>
      <c r="K114" s="522"/>
      <c r="L114" s="102">
        <v>0</v>
      </c>
      <c r="M114" s="101"/>
      <c r="N114" s="53"/>
      <c r="O114" s="518"/>
      <c r="P114" s="522"/>
      <c r="Q114" s="102">
        <v>0</v>
      </c>
      <c r="R114" s="101"/>
      <c r="S114" s="53"/>
      <c r="T114" s="518"/>
      <c r="U114" s="522"/>
      <c r="V114" s="102">
        <v>0</v>
      </c>
      <c r="W114" s="101"/>
      <c r="X114" s="53"/>
      <c r="Y114" s="518"/>
      <c r="Z114" s="522"/>
      <c r="AA114" s="102">
        <v>0</v>
      </c>
      <c r="AB114" s="101"/>
      <c r="AC114" s="53"/>
      <c r="AD114" s="518"/>
      <c r="AE114" s="522"/>
      <c r="AF114" s="102">
        <v>0</v>
      </c>
      <c r="AG114" s="101"/>
      <c r="AH114" s="53"/>
      <c r="AI114" s="518"/>
      <c r="AJ114" s="522"/>
      <c r="AK114" s="102">
        <v>0</v>
      </c>
      <c r="AL114" s="101"/>
      <c r="AM114" s="53"/>
      <c r="AN114" s="518"/>
      <c r="AO114" s="522"/>
      <c r="AP114" s="102">
        <v>0</v>
      </c>
      <c r="AQ114" s="101"/>
      <c r="AR114" s="53"/>
      <c r="AS114" s="518"/>
      <c r="AT114" s="522"/>
      <c r="AU114" s="102">
        <v>0</v>
      </c>
      <c r="AV114" s="101"/>
      <c r="AW114" s="53"/>
      <c r="AX114" s="518"/>
      <c r="AY114" s="522"/>
      <c r="AZ114" s="102">
        <v>0</v>
      </c>
      <c r="BA114" s="101"/>
      <c r="BB114" s="53"/>
      <c r="BC114" s="518"/>
      <c r="BD114" s="522"/>
      <c r="BE114" s="102">
        <v>0</v>
      </c>
      <c r="BF114" s="101"/>
      <c r="BG114" s="53"/>
      <c r="BH114" s="518"/>
      <c r="BI114" s="522"/>
      <c r="BJ114" s="102">
        <v>0</v>
      </c>
      <c r="BK114" s="101"/>
      <c r="BL114" s="53"/>
      <c r="BM114" s="518"/>
      <c r="BN114" s="522"/>
      <c r="BO114" s="102">
        <v>0</v>
      </c>
      <c r="BP114" s="101"/>
      <c r="BQ114" s="53"/>
      <c r="BR114" s="518"/>
      <c r="BS114" s="522"/>
      <c r="BT114" s="102">
        <f>SUM(L114:BO114)</f>
        <v>0</v>
      </c>
      <c r="BU114" s="101"/>
      <c r="BV114" s="53"/>
      <c r="BW114" s="465"/>
    </row>
    <row r="115" spans="1:75" x14ac:dyDescent="0.2">
      <c r="A115" s="377"/>
      <c r="B115" s="377"/>
      <c r="C115" s="377"/>
      <c r="D115" s="465"/>
      <c r="E115" s="417"/>
      <c r="F115" s="377"/>
      <c r="G115" s="53"/>
      <c r="H115" s="53"/>
      <c r="I115" s="53"/>
      <c r="J115" s="518"/>
      <c r="K115" s="53"/>
      <c r="L115" s="53"/>
      <c r="M115" s="53"/>
      <c r="N115" s="53"/>
      <c r="O115" s="518"/>
      <c r="P115" s="53"/>
      <c r="Q115" s="53"/>
      <c r="R115" s="53"/>
      <c r="S115" s="53"/>
      <c r="T115" s="518"/>
      <c r="U115" s="53"/>
      <c r="V115" s="53"/>
      <c r="W115" s="53"/>
      <c r="X115" s="53"/>
      <c r="Y115" s="518"/>
      <c r="Z115" s="53"/>
      <c r="AA115" s="53"/>
      <c r="AB115" s="53"/>
      <c r="AC115" s="53"/>
      <c r="AD115" s="518"/>
      <c r="AE115" s="53"/>
      <c r="AF115" s="53"/>
      <c r="AG115" s="53"/>
      <c r="AH115" s="53"/>
      <c r="AI115" s="518"/>
      <c r="AJ115" s="53"/>
      <c r="AK115" s="53"/>
      <c r="AL115" s="53"/>
      <c r="AM115" s="53"/>
      <c r="AN115" s="518"/>
      <c r="AO115" s="53"/>
      <c r="AP115" s="53"/>
      <c r="AQ115" s="53"/>
      <c r="AR115" s="53"/>
      <c r="AS115" s="518"/>
      <c r="AT115" s="53"/>
      <c r="AU115" s="53"/>
      <c r="AV115" s="53"/>
      <c r="AW115" s="53"/>
      <c r="AX115" s="518"/>
      <c r="AY115" s="53"/>
      <c r="AZ115" s="53"/>
      <c r="BA115" s="53"/>
      <c r="BB115" s="53"/>
      <c r="BC115" s="518"/>
      <c r="BD115" s="53"/>
      <c r="BE115" s="53"/>
      <c r="BF115" s="53"/>
      <c r="BG115" s="53"/>
      <c r="BH115" s="518"/>
      <c r="BI115" s="53"/>
      <c r="BJ115" s="53"/>
      <c r="BK115" s="53"/>
      <c r="BL115" s="53"/>
      <c r="BM115" s="518"/>
      <c r="BN115" s="53"/>
      <c r="BO115" s="53"/>
      <c r="BP115" s="53"/>
      <c r="BQ115" s="53"/>
      <c r="BR115" s="518"/>
      <c r="BS115" s="53"/>
      <c r="BT115" s="53"/>
      <c r="BU115" s="53"/>
      <c r="BV115" s="53"/>
      <c r="BW115" s="465"/>
    </row>
    <row r="116" spans="1:75" hidden="1" x14ac:dyDescent="0.2">
      <c r="A116" s="377"/>
      <c r="B116" s="377"/>
      <c r="C116" s="377"/>
      <c r="D116" s="465" t="s">
        <v>508</v>
      </c>
      <c r="E116" s="417"/>
      <c r="F116" s="377"/>
      <c r="G116" s="53">
        <f>SUM(G117:G118)</f>
        <v>0</v>
      </c>
      <c r="H116" s="53"/>
      <c r="I116" s="53"/>
      <c r="J116" s="518"/>
      <c r="K116" s="53"/>
      <c r="L116" s="53">
        <f>SUM(L117:L118)</f>
        <v>0</v>
      </c>
      <c r="M116" s="53"/>
      <c r="N116" s="53"/>
      <c r="O116" s="518"/>
      <c r="P116" s="53"/>
      <c r="Q116" s="53">
        <f>SUM(Q117:Q118)</f>
        <v>0</v>
      </c>
      <c r="R116" s="53"/>
      <c r="S116" s="53"/>
      <c r="T116" s="518"/>
      <c r="U116" s="53"/>
      <c r="V116" s="53">
        <f>SUM(V117:V118)</f>
        <v>0</v>
      </c>
      <c r="W116" s="53"/>
      <c r="X116" s="53"/>
      <c r="Y116" s="518"/>
      <c r="Z116" s="53"/>
      <c r="AA116" s="53">
        <f>SUM(AA117:AA118)</f>
        <v>0</v>
      </c>
      <c r="AB116" s="53"/>
      <c r="AC116" s="53"/>
      <c r="AD116" s="518"/>
      <c r="AE116" s="53"/>
      <c r="AF116" s="53">
        <f>SUM(AF117:AF118)</f>
        <v>0</v>
      </c>
      <c r="AG116" s="53"/>
      <c r="AH116" s="53"/>
      <c r="AI116" s="518"/>
      <c r="AJ116" s="53"/>
      <c r="AK116" s="53">
        <f>SUM(AK117:AK118)</f>
        <v>0</v>
      </c>
      <c r="AL116" s="53"/>
      <c r="AM116" s="53"/>
      <c r="AN116" s="518"/>
      <c r="AO116" s="53"/>
      <c r="AP116" s="53">
        <f>SUM(AP117:AP118)</f>
        <v>0</v>
      </c>
      <c r="AQ116" s="53"/>
      <c r="AR116" s="53"/>
      <c r="AS116" s="518"/>
      <c r="AT116" s="53"/>
      <c r="AU116" s="53">
        <f>SUM(AU117:AU118)</f>
        <v>0</v>
      </c>
      <c r="AV116" s="53"/>
      <c r="AW116" s="53"/>
      <c r="AX116" s="518"/>
      <c r="AY116" s="53"/>
      <c r="AZ116" s="53">
        <f>SUM(AZ117:AZ118)</f>
        <v>0</v>
      </c>
      <c r="BA116" s="53"/>
      <c r="BB116" s="53"/>
      <c r="BC116" s="518"/>
      <c r="BD116" s="53"/>
      <c r="BE116" s="53">
        <f>SUM(BE117:BE118)</f>
        <v>0</v>
      </c>
      <c r="BF116" s="53"/>
      <c r="BG116" s="53"/>
      <c r="BH116" s="518"/>
      <c r="BI116" s="53"/>
      <c r="BJ116" s="53">
        <f>SUM(BJ117:BJ118)</f>
        <v>0</v>
      </c>
      <c r="BK116" s="53"/>
      <c r="BL116" s="53"/>
      <c r="BM116" s="518"/>
      <c r="BN116" s="53"/>
      <c r="BO116" s="53">
        <f>SUM(BO117:BO118)</f>
        <v>0</v>
      </c>
      <c r="BP116" s="53"/>
      <c r="BQ116" s="53"/>
      <c r="BR116" s="518"/>
      <c r="BS116" s="53"/>
      <c r="BT116" s="53">
        <f>SUM(BT117:BT118)</f>
        <v>0</v>
      </c>
      <c r="BU116" s="53"/>
      <c r="BV116" s="53"/>
      <c r="BW116" s="465"/>
    </row>
    <row r="117" spans="1:75" hidden="1" x14ac:dyDescent="0.2">
      <c r="A117" s="377"/>
      <c r="B117" s="377"/>
      <c r="C117" s="377"/>
      <c r="D117" s="465" t="s">
        <v>505</v>
      </c>
      <c r="E117" s="417"/>
      <c r="F117" s="469"/>
      <c r="G117" s="520">
        <v>0</v>
      </c>
      <c r="H117" s="521"/>
      <c r="I117" s="53"/>
      <c r="J117" s="518"/>
      <c r="K117" s="519"/>
      <c r="L117" s="520">
        <v>0</v>
      </c>
      <c r="M117" s="521"/>
      <c r="N117" s="53"/>
      <c r="O117" s="518"/>
      <c r="P117" s="519"/>
      <c r="Q117" s="520">
        <v>0</v>
      </c>
      <c r="R117" s="521"/>
      <c r="S117" s="53"/>
      <c r="T117" s="518"/>
      <c r="U117" s="519"/>
      <c r="V117" s="520">
        <v>0</v>
      </c>
      <c r="W117" s="521"/>
      <c r="X117" s="53"/>
      <c r="Y117" s="518"/>
      <c r="Z117" s="519"/>
      <c r="AA117" s="520">
        <v>0</v>
      </c>
      <c r="AB117" s="521"/>
      <c r="AC117" s="53"/>
      <c r="AD117" s="518"/>
      <c r="AE117" s="519"/>
      <c r="AF117" s="520">
        <v>0</v>
      </c>
      <c r="AG117" s="521"/>
      <c r="AH117" s="53"/>
      <c r="AI117" s="518"/>
      <c r="AJ117" s="519"/>
      <c r="AK117" s="520">
        <v>0</v>
      </c>
      <c r="AL117" s="521"/>
      <c r="AM117" s="53"/>
      <c r="AN117" s="518"/>
      <c r="AO117" s="519"/>
      <c r="AP117" s="520">
        <v>0</v>
      </c>
      <c r="AQ117" s="521"/>
      <c r="AR117" s="53"/>
      <c r="AS117" s="518"/>
      <c r="AT117" s="519"/>
      <c r="AU117" s="520">
        <v>0</v>
      </c>
      <c r="AV117" s="521"/>
      <c r="AW117" s="53"/>
      <c r="AX117" s="518"/>
      <c r="AY117" s="519"/>
      <c r="AZ117" s="520">
        <v>0</v>
      </c>
      <c r="BA117" s="521"/>
      <c r="BB117" s="53"/>
      <c r="BC117" s="518"/>
      <c r="BD117" s="519"/>
      <c r="BE117" s="520">
        <v>0</v>
      </c>
      <c r="BF117" s="521"/>
      <c r="BG117" s="53"/>
      <c r="BH117" s="518"/>
      <c r="BI117" s="519"/>
      <c r="BJ117" s="520">
        <v>0</v>
      </c>
      <c r="BK117" s="521"/>
      <c r="BL117" s="53"/>
      <c r="BM117" s="518"/>
      <c r="BN117" s="519"/>
      <c r="BO117" s="520">
        <v>0</v>
      </c>
      <c r="BP117" s="521"/>
      <c r="BQ117" s="53"/>
      <c r="BR117" s="518"/>
      <c r="BS117" s="519"/>
      <c r="BT117" s="520">
        <f>SUM(L117:BO117)</f>
        <v>0</v>
      </c>
      <c r="BU117" s="521"/>
      <c r="BV117" s="53"/>
      <c r="BW117" s="465"/>
    </row>
    <row r="118" spans="1:75" hidden="1" x14ac:dyDescent="0.2">
      <c r="A118" s="377"/>
      <c r="B118" s="377"/>
      <c r="C118" s="377"/>
      <c r="D118" s="465" t="s">
        <v>506</v>
      </c>
      <c r="E118" s="417"/>
      <c r="F118" s="478"/>
      <c r="G118" s="102">
        <v>0</v>
      </c>
      <c r="H118" s="101"/>
      <c r="I118" s="53"/>
      <c r="J118" s="518"/>
      <c r="K118" s="522"/>
      <c r="L118" s="102">
        <v>0</v>
      </c>
      <c r="M118" s="101"/>
      <c r="N118" s="53"/>
      <c r="O118" s="518"/>
      <c r="P118" s="522"/>
      <c r="Q118" s="102">
        <v>0</v>
      </c>
      <c r="R118" s="101"/>
      <c r="S118" s="53"/>
      <c r="T118" s="518"/>
      <c r="U118" s="522"/>
      <c r="V118" s="102">
        <v>0</v>
      </c>
      <c r="W118" s="101"/>
      <c r="X118" s="53"/>
      <c r="Y118" s="518"/>
      <c r="Z118" s="522"/>
      <c r="AA118" s="102">
        <v>0</v>
      </c>
      <c r="AB118" s="101"/>
      <c r="AC118" s="53"/>
      <c r="AD118" s="518"/>
      <c r="AE118" s="522"/>
      <c r="AF118" s="102">
        <v>0</v>
      </c>
      <c r="AG118" s="101"/>
      <c r="AH118" s="53"/>
      <c r="AI118" s="518"/>
      <c r="AJ118" s="522"/>
      <c r="AK118" s="102">
        <v>0</v>
      </c>
      <c r="AL118" s="101"/>
      <c r="AM118" s="53"/>
      <c r="AN118" s="518"/>
      <c r="AO118" s="522"/>
      <c r="AP118" s="102">
        <v>0</v>
      </c>
      <c r="AQ118" s="101"/>
      <c r="AR118" s="53"/>
      <c r="AS118" s="518"/>
      <c r="AT118" s="522"/>
      <c r="AU118" s="102">
        <v>0</v>
      </c>
      <c r="AV118" s="101"/>
      <c r="AW118" s="53"/>
      <c r="AX118" s="518"/>
      <c r="AY118" s="522"/>
      <c r="AZ118" s="102">
        <v>0</v>
      </c>
      <c r="BA118" s="101"/>
      <c r="BB118" s="53"/>
      <c r="BC118" s="518"/>
      <c r="BD118" s="522"/>
      <c r="BE118" s="102">
        <v>0</v>
      </c>
      <c r="BF118" s="101"/>
      <c r="BG118" s="53"/>
      <c r="BH118" s="518"/>
      <c r="BI118" s="522"/>
      <c r="BJ118" s="102">
        <v>0</v>
      </c>
      <c r="BK118" s="101"/>
      <c r="BL118" s="53"/>
      <c r="BM118" s="518"/>
      <c r="BN118" s="522"/>
      <c r="BO118" s="102">
        <v>0</v>
      </c>
      <c r="BP118" s="101"/>
      <c r="BQ118" s="53"/>
      <c r="BR118" s="518"/>
      <c r="BS118" s="522"/>
      <c r="BT118" s="102">
        <f>SUM(L118:BO118)</f>
        <v>0</v>
      </c>
      <c r="BU118" s="101"/>
      <c r="BV118" s="53"/>
      <c r="BW118" s="465"/>
    </row>
    <row r="119" spans="1:75" hidden="1" x14ac:dyDescent="0.2">
      <c r="A119" s="377"/>
      <c r="B119" s="377"/>
      <c r="C119" s="377"/>
      <c r="D119" s="465"/>
      <c r="E119" s="417"/>
      <c r="F119" s="377"/>
      <c r="G119" s="53"/>
      <c r="H119" s="53"/>
      <c r="I119" s="53"/>
      <c r="J119" s="518"/>
      <c r="K119" s="53"/>
      <c r="L119" s="53"/>
      <c r="M119" s="53"/>
      <c r="N119" s="53"/>
      <c r="O119" s="518"/>
      <c r="P119" s="53"/>
      <c r="Q119" s="53"/>
      <c r="R119" s="53"/>
      <c r="S119" s="53"/>
      <c r="T119" s="518"/>
      <c r="U119" s="53"/>
      <c r="V119" s="53"/>
      <c r="W119" s="53"/>
      <c r="X119" s="53"/>
      <c r="Y119" s="518"/>
      <c r="Z119" s="53"/>
      <c r="AA119" s="53"/>
      <c r="AB119" s="53"/>
      <c r="AC119" s="53"/>
      <c r="AD119" s="518"/>
      <c r="AE119" s="53"/>
      <c r="AF119" s="53"/>
      <c r="AG119" s="53"/>
      <c r="AH119" s="53"/>
      <c r="AI119" s="518"/>
      <c r="AJ119" s="53"/>
      <c r="AK119" s="53"/>
      <c r="AL119" s="53"/>
      <c r="AM119" s="53"/>
      <c r="AN119" s="518"/>
      <c r="AO119" s="53"/>
      <c r="AP119" s="53"/>
      <c r="AQ119" s="53"/>
      <c r="AR119" s="53"/>
      <c r="AS119" s="518"/>
      <c r="AT119" s="53"/>
      <c r="AU119" s="53"/>
      <c r="AV119" s="53"/>
      <c r="AW119" s="53"/>
      <c r="AX119" s="518"/>
      <c r="AY119" s="53"/>
      <c r="AZ119" s="53"/>
      <c r="BA119" s="53"/>
      <c r="BB119" s="53"/>
      <c r="BC119" s="518"/>
      <c r="BD119" s="53"/>
      <c r="BE119" s="53"/>
      <c r="BF119" s="53"/>
      <c r="BG119" s="53"/>
      <c r="BH119" s="518"/>
      <c r="BI119" s="53"/>
      <c r="BJ119" s="53"/>
      <c r="BK119" s="53"/>
      <c r="BL119" s="53"/>
      <c r="BM119" s="518"/>
      <c r="BN119" s="53"/>
      <c r="BO119" s="53"/>
      <c r="BP119" s="53"/>
      <c r="BQ119" s="53"/>
      <c r="BR119" s="518"/>
      <c r="BS119" s="53"/>
      <c r="BT119" s="53"/>
      <c r="BU119" s="53"/>
      <c r="BV119" s="53"/>
      <c r="BW119" s="465"/>
    </row>
    <row r="120" spans="1:75" hidden="1" x14ac:dyDescent="0.2">
      <c r="A120" s="377"/>
      <c r="B120" s="377"/>
      <c r="C120" s="377"/>
      <c r="D120" s="465" t="s">
        <v>509</v>
      </c>
      <c r="E120" s="417"/>
      <c r="F120" s="377"/>
      <c r="G120" s="53">
        <f>SUM(G121:G122)</f>
        <v>0</v>
      </c>
      <c r="H120" s="53"/>
      <c r="I120" s="53"/>
      <c r="J120" s="518"/>
      <c r="K120" s="53"/>
      <c r="L120" s="53">
        <f>SUM(L121:L122)</f>
        <v>0</v>
      </c>
      <c r="M120" s="53"/>
      <c r="N120" s="53"/>
      <c r="O120" s="518"/>
      <c r="P120" s="53"/>
      <c r="Q120" s="53">
        <f>SUM(Q121:Q122)</f>
        <v>0</v>
      </c>
      <c r="R120" s="53"/>
      <c r="S120" s="53"/>
      <c r="T120" s="518"/>
      <c r="U120" s="53"/>
      <c r="V120" s="53">
        <f>SUM(V121:V122)</f>
        <v>0</v>
      </c>
      <c r="W120" s="53"/>
      <c r="X120" s="53"/>
      <c r="Y120" s="518"/>
      <c r="Z120" s="53"/>
      <c r="AA120" s="53">
        <f>SUM(AA121:AA122)</f>
        <v>0</v>
      </c>
      <c r="AB120" s="53"/>
      <c r="AC120" s="53"/>
      <c r="AD120" s="518"/>
      <c r="AE120" s="53"/>
      <c r="AF120" s="53">
        <f>SUM(AF121:AF122)</f>
        <v>0</v>
      </c>
      <c r="AG120" s="53"/>
      <c r="AH120" s="53"/>
      <c r="AI120" s="518"/>
      <c r="AJ120" s="53"/>
      <c r="AK120" s="53">
        <f>SUM(AK121:AK122)</f>
        <v>0</v>
      </c>
      <c r="AL120" s="53"/>
      <c r="AM120" s="53"/>
      <c r="AN120" s="518"/>
      <c r="AO120" s="53"/>
      <c r="AP120" s="53">
        <f>SUM(AP121:AP122)</f>
        <v>0</v>
      </c>
      <c r="AQ120" s="53"/>
      <c r="AR120" s="53"/>
      <c r="AS120" s="518"/>
      <c r="AT120" s="53"/>
      <c r="AU120" s="53">
        <f>SUM(AU121:AU122)</f>
        <v>0</v>
      </c>
      <c r="AV120" s="53"/>
      <c r="AW120" s="53"/>
      <c r="AX120" s="518"/>
      <c r="AY120" s="53"/>
      <c r="AZ120" s="53">
        <f>SUM(AZ121:AZ122)</f>
        <v>0</v>
      </c>
      <c r="BA120" s="53"/>
      <c r="BB120" s="53"/>
      <c r="BC120" s="518"/>
      <c r="BD120" s="53"/>
      <c r="BE120" s="53">
        <f>SUM(BE121:BE122)</f>
        <v>0</v>
      </c>
      <c r="BF120" s="53"/>
      <c r="BG120" s="53"/>
      <c r="BH120" s="518"/>
      <c r="BI120" s="53"/>
      <c r="BJ120" s="53">
        <f>SUM(BJ121:BJ122)</f>
        <v>0</v>
      </c>
      <c r="BK120" s="53"/>
      <c r="BL120" s="53"/>
      <c r="BM120" s="518"/>
      <c r="BN120" s="53"/>
      <c r="BO120" s="53">
        <f>SUM(BO121:BO122)</f>
        <v>0</v>
      </c>
      <c r="BP120" s="53"/>
      <c r="BQ120" s="53"/>
      <c r="BR120" s="518"/>
      <c r="BS120" s="53"/>
      <c r="BT120" s="53">
        <f>SUM(BT121:BT122)</f>
        <v>0</v>
      </c>
      <c r="BU120" s="53"/>
      <c r="BV120" s="53"/>
      <c r="BW120" s="465"/>
    </row>
    <row r="121" spans="1:75" hidden="1" x14ac:dyDescent="0.2">
      <c r="A121" s="377"/>
      <c r="B121" s="377"/>
      <c r="C121" s="377"/>
      <c r="D121" s="465" t="s">
        <v>505</v>
      </c>
      <c r="E121" s="417"/>
      <c r="F121" s="469"/>
      <c r="G121" s="520">
        <v>0</v>
      </c>
      <c r="H121" s="521"/>
      <c r="I121" s="53"/>
      <c r="J121" s="518"/>
      <c r="K121" s="519"/>
      <c r="L121" s="520">
        <v>0</v>
      </c>
      <c r="M121" s="521"/>
      <c r="N121" s="53"/>
      <c r="O121" s="518"/>
      <c r="P121" s="519"/>
      <c r="Q121" s="520">
        <v>0</v>
      </c>
      <c r="R121" s="521"/>
      <c r="S121" s="53"/>
      <c r="T121" s="518"/>
      <c r="U121" s="519"/>
      <c r="V121" s="520">
        <v>0</v>
      </c>
      <c r="W121" s="521"/>
      <c r="X121" s="53"/>
      <c r="Y121" s="518"/>
      <c r="Z121" s="519"/>
      <c r="AA121" s="520">
        <v>0</v>
      </c>
      <c r="AB121" s="521"/>
      <c r="AC121" s="53"/>
      <c r="AD121" s="518"/>
      <c r="AE121" s="519"/>
      <c r="AF121" s="520">
        <v>0</v>
      </c>
      <c r="AG121" s="521"/>
      <c r="AH121" s="53"/>
      <c r="AI121" s="518"/>
      <c r="AJ121" s="519"/>
      <c r="AK121" s="520">
        <v>0</v>
      </c>
      <c r="AL121" s="521"/>
      <c r="AM121" s="53"/>
      <c r="AN121" s="518"/>
      <c r="AO121" s="519"/>
      <c r="AP121" s="520">
        <v>0</v>
      </c>
      <c r="AQ121" s="521"/>
      <c r="AR121" s="53"/>
      <c r="AS121" s="518"/>
      <c r="AT121" s="519"/>
      <c r="AU121" s="520">
        <v>0</v>
      </c>
      <c r="AV121" s="521"/>
      <c r="AW121" s="53"/>
      <c r="AX121" s="518"/>
      <c r="AY121" s="519"/>
      <c r="AZ121" s="520">
        <v>0</v>
      </c>
      <c r="BA121" s="521"/>
      <c r="BB121" s="53"/>
      <c r="BC121" s="518"/>
      <c r="BD121" s="519"/>
      <c r="BE121" s="520">
        <v>0</v>
      </c>
      <c r="BF121" s="521"/>
      <c r="BG121" s="53"/>
      <c r="BH121" s="518"/>
      <c r="BI121" s="519"/>
      <c r="BJ121" s="520">
        <v>0</v>
      </c>
      <c r="BK121" s="521"/>
      <c r="BL121" s="53"/>
      <c r="BM121" s="518"/>
      <c r="BN121" s="519"/>
      <c r="BO121" s="520">
        <v>0</v>
      </c>
      <c r="BP121" s="521"/>
      <c r="BQ121" s="53"/>
      <c r="BR121" s="518"/>
      <c r="BS121" s="519"/>
      <c r="BT121" s="520">
        <f>SUM(L121:BO121)</f>
        <v>0</v>
      </c>
      <c r="BU121" s="521"/>
      <c r="BV121" s="53"/>
      <c r="BW121" s="465"/>
    </row>
    <row r="122" spans="1:75" hidden="1" x14ac:dyDescent="0.2">
      <c r="A122" s="377"/>
      <c r="B122" s="377"/>
      <c r="C122" s="377"/>
      <c r="D122" s="465" t="s">
        <v>506</v>
      </c>
      <c r="E122" s="417"/>
      <c r="F122" s="478"/>
      <c r="G122" s="102">
        <v>0</v>
      </c>
      <c r="H122" s="101"/>
      <c r="I122" s="53"/>
      <c r="J122" s="518"/>
      <c r="K122" s="522"/>
      <c r="L122" s="102">
        <v>0</v>
      </c>
      <c r="M122" s="101"/>
      <c r="N122" s="53"/>
      <c r="O122" s="518"/>
      <c r="P122" s="522"/>
      <c r="Q122" s="102">
        <v>0</v>
      </c>
      <c r="R122" s="101"/>
      <c r="S122" s="53"/>
      <c r="T122" s="518"/>
      <c r="U122" s="522"/>
      <c r="V122" s="102">
        <v>0</v>
      </c>
      <c r="W122" s="101"/>
      <c r="X122" s="53"/>
      <c r="Y122" s="518"/>
      <c r="Z122" s="522"/>
      <c r="AA122" s="102">
        <v>0</v>
      </c>
      <c r="AB122" s="101"/>
      <c r="AC122" s="53"/>
      <c r="AD122" s="518"/>
      <c r="AE122" s="522"/>
      <c r="AF122" s="102">
        <v>0</v>
      </c>
      <c r="AG122" s="101"/>
      <c r="AH122" s="53"/>
      <c r="AI122" s="518"/>
      <c r="AJ122" s="522"/>
      <c r="AK122" s="102">
        <v>0</v>
      </c>
      <c r="AL122" s="101"/>
      <c r="AM122" s="53"/>
      <c r="AN122" s="518"/>
      <c r="AO122" s="522"/>
      <c r="AP122" s="102">
        <v>0</v>
      </c>
      <c r="AQ122" s="101"/>
      <c r="AR122" s="53"/>
      <c r="AS122" s="518"/>
      <c r="AT122" s="522"/>
      <c r="AU122" s="102">
        <v>0</v>
      </c>
      <c r="AV122" s="101"/>
      <c r="AW122" s="53"/>
      <c r="AX122" s="518"/>
      <c r="AY122" s="522"/>
      <c r="AZ122" s="102">
        <v>0</v>
      </c>
      <c r="BA122" s="101"/>
      <c r="BB122" s="53"/>
      <c r="BC122" s="518"/>
      <c r="BD122" s="522"/>
      <c r="BE122" s="102">
        <v>0</v>
      </c>
      <c r="BF122" s="101"/>
      <c r="BG122" s="53"/>
      <c r="BH122" s="518"/>
      <c r="BI122" s="522"/>
      <c r="BJ122" s="102">
        <v>0</v>
      </c>
      <c r="BK122" s="101"/>
      <c r="BL122" s="53"/>
      <c r="BM122" s="518"/>
      <c r="BN122" s="522"/>
      <c r="BO122" s="102">
        <v>0</v>
      </c>
      <c r="BP122" s="101"/>
      <c r="BQ122" s="53"/>
      <c r="BR122" s="518"/>
      <c r="BS122" s="522"/>
      <c r="BT122" s="102">
        <f>SUM(L122:BO122)</f>
        <v>0</v>
      </c>
      <c r="BU122" s="101"/>
      <c r="BV122" s="53"/>
      <c r="BW122" s="465"/>
    </row>
    <row r="123" spans="1:75" hidden="1" x14ac:dyDescent="0.2">
      <c r="A123" s="377"/>
      <c r="B123" s="377"/>
      <c r="C123" s="377"/>
      <c r="D123" s="465"/>
      <c r="E123" s="417"/>
      <c r="F123" s="377"/>
      <c r="G123" s="53"/>
      <c r="H123" s="53"/>
      <c r="I123" s="53"/>
      <c r="J123" s="518"/>
      <c r="K123" s="53"/>
      <c r="L123" s="53"/>
      <c r="M123" s="53"/>
      <c r="N123" s="53"/>
      <c r="O123" s="518"/>
      <c r="P123" s="53"/>
      <c r="Q123" s="53"/>
      <c r="R123" s="53"/>
      <c r="S123" s="53"/>
      <c r="T123" s="518"/>
      <c r="U123" s="53"/>
      <c r="V123" s="53"/>
      <c r="W123" s="53"/>
      <c r="X123" s="53"/>
      <c r="Y123" s="518"/>
      <c r="Z123" s="53"/>
      <c r="AA123" s="53"/>
      <c r="AB123" s="53"/>
      <c r="AC123" s="53"/>
      <c r="AD123" s="518"/>
      <c r="AE123" s="53"/>
      <c r="AF123" s="53"/>
      <c r="AG123" s="53"/>
      <c r="AH123" s="53"/>
      <c r="AI123" s="518"/>
      <c r="AJ123" s="53"/>
      <c r="AK123" s="53"/>
      <c r="AL123" s="53"/>
      <c r="AM123" s="53"/>
      <c r="AN123" s="518"/>
      <c r="AO123" s="53"/>
      <c r="AP123" s="53"/>
      <c r="AQ123" s="53"/>
      <c r="AR123" s="53"/>
      <c r="AS123" s="518"/>
      <c r="AT123" s="53"/>
      <c r="AU123" s="53"/>
      <c r="AV123" s="53"/>
      <c r="AW123" s="53"/>
      <c r="AX123" s="518"/>
      <c r="AY123" s="53"/>
      <c r="AZ123" s="53"/>
      <c r="BA123" s="53"/>
      <c r="BB123" s="53"/>
      <c r="BC123" s="518"/>
      <c r="BD123" s="53"/>
      <c r="BE123" s="53"/>
      <c r="BF123" s="53"/>
      <c r="BG123" s="53"/>
      <c r="BH123" s="518"/>
      <c r="BI123" s="53"/>
      <c r="BJ123" s="53"/>
      <c r="BK123" s="53"/>
      <c r="BL123" s="53"/>
      <c r="BM123" s="518"/>
      <c r="BN123" s="53"/>
      <c r="BO123" s="53"/>
      <c r="BP123" s="53"/>
      <c r="BQ123" s="53"/>
      <c r="BR123" s="518"/>
      <c r="BS123" s="53"/>
      <c r="BT123" s="53"/>
      <c r="BU123" s="53"/>
      <c r="BV123" s="53"/>
      <c r="BW123" s="465"/>
    </row>
    <row r="124" spans="1:75" hidden="1" x14ac:dyDescent="0.2">
      <c r="A124" s="377"/>
      <c r="B124" s="377"/>
      <c r="C124" s="377"/>
      <c r="D124" s="465" t="s">
        <v>510</v>
      </c>
      <c r="E124" s="417"/>
      <c r="F124" s="377"/>
      <c r="G124" s="53">
        <v>0</v>
      </c>
      <c r="H124" s="53"/>
      <c r="I124" s="53"/>
      <c r="J124" s="518"/>
      <c r="K124" s="53"/>
      <c r="L124" s="53">
        <f>SUM(L125:L126)</f>
        <v>0</v>
      </c>
      <c r="M124" s="53"/>
      <c r="N124" s="53"/>
      <c r="O124" s="518"/>
      <c r="P124" s="53"/>
      <c r="Q124" s="53">
        <f>SUM(Q125:Q126)</f>
        <v>0</v>
      </c>
      <c r="R124" s="53"/>
      <c r="S124" s="53"/>
      <c r="T124" s="518"/>
      <c r="U124" s="53"/>
      <c r="V124" s="53">
        <f>SUM(V125:V126)</f>
        <v>0</v>
      </c>
      <c r="W124" s="53"/>
      <c r="X124" s="53"/>
      <c r="Y124" s="518"/>
      <c r="Z124" s="53"/>
      <c r="AA124" s="53">
        <f>SUM(AA125:AA126)</f>
        <v>0</v>
      </c>
      <c r="AB124" s="53"/>
      <c r="AC124" s="53"/>
      <c r="AD124" s="518"/>
      <c r="AE124" s="53"/>
      <c r="AF124" s="53">
        <f>SUM(AF125:AF126)</f>
        <v>0</v>
      </c>
      <c r="AG124" s="53"/>
      <c r="AH124" s="53"/>
      <c r="AI124" s="518"/>
      <c r="AJ124" s="53"/>
      <c r="AK124" s="53">
        <f>SUM(AK125:AK126)</f>
        <v>0</v>
      </c>
      <c r="AL124" s="53"/>
      <c r="AM124" s="53"/>
      <c r="AN124" s="518"/>
      <c r="AO124" s="53"/>
      <c r="AP124" s="53">
        <f>SUM(AP125:AP126)</f>
        <v>0</v>
      </c>
      <c r="AQ124" s="53"/>
      <c r="AR124" s="53"/>
      <c r="AS124" s="518"/>
      <c r="AT124" s="53"/>
      <c r="AU124" s="53">
        <f>SUM(AU125:AU126)</f>
        <v>0</v>
      </c>
      <c r="AV124" s="53"/>
      <c r="AW124" s="53"/>
      <c r="AX124" s="518"/>
      <c r="AY124" s="53"/>
      <c r="AZ124" s="53">
        <f>SUM(AZ125:AZ126)</f>
        <v>0</v>
      </c>
      <c r="BA124" s="53"/>
      <c r="BB124" s="53"/>
      <c r="BC124" s="518"/>
      <c r="BD124" s="53"/>
      <c r="BE124" s="53">
        <f>SUM(BE125:BE126)</f>
        <v>0</v>
      </c>
      <c r="BF124" s="53"/>
      <c r="BG124" s="53"/>
      <c r="BH124" s="518"/>
      <c r="BI124" s="53"/>
      <c r="BJ124" s="53">
        <f>SUM(BJ125:BJ126)</f>
        <v>0</v>
      </c>
      <c r="BK124" s="53"/>
      <c r="BL124" s="53"/>
      <c r="BM124" s="518"/>
      <c r="BN124" s="53"/>
      <c r="BO124" s="53">
        <f>SUM(BO125:BO126)</f>
        <v>0</v>
      </c>
      <c r="BP124" s="53"/>
      <c r="BQ124" s="53"/>
      <c r="BR124" s="518"/>
      <c r="BS124" s="53"/>
      <c r="BT124" s="53">
        <f>SUM(BT125:BT126)</f>
        <v>0</v>
      </c>
      <c r="BU124" s="53"/>
      <c r="BV124" s="53"/>
      <c r="BW124" s="465"/>
    </row>
    <row r="125" spans="1:75" hidden="1" x14ac:dyDescent="0.2">
      <c r="A125" s="377"/>
      <c r="B125" s="377"/>
      <c r="C125" s="377"/>
      <c r="D125" s="465" t="s">
        <v>505</v>
      </c>
      <c r="E125" s="417"/>
      <c r="F125" s="469"/>
      <c r="G125" s="520">
        <v>0</v>
      </c>
      <c r="H125" s="521"/>
      <c r="I125" s="53"/>
      <c r="J125" s="518"/>
      <c r="K125" s="519"/>
      <c r="L125" s="520">
        <v>0</v>
      </c>
      <c r="M125" s="521"/>
      <c r="N125" s="53"/>
      <c r="O125" s="518"/>
      <c r="P125" s="519"/>
      <c r="Q125" s="520">
        <v>0</v>
      </c>
      <c r="R125" s="521"/>
      <c r="S125" s="53"/>
      <c r="T125" s="518"/>
      <c r="U125" s="519"/>
      <c r="V125" s="520">
        <v>0</v>
      </c>
      <c r="W125" s="521"/>
      <c r="X125" s="53"/>
      <c r="Y125" s="518"/>
      <c r="Z125" s="519"/>
      <c r="AA125" s="520">
        <v>0</v>
      </c>
      <c r="AB125" s="521"/>
      <c r="AC125" s="53"/>
      <c r="AD125" s="518"/>
      <c r="AE125" s="519"/>
      <c r="AF125" s="520">
        <v>0</v>
      </c>
      <c r="AG125" s="521"/>
      <c r="AH125" s="53"/>
      <c r="AI125" s="518"/>
      <c r="AJ125" s="519"/>
      <c r="AK125" s="520">
        <v>0</v>
      </c>
      <c r="AL125" s="521"/>
      <c r="AM125" s="53"/>
      <c r="AN125" s="518"/>
      <c r="AO125" s="519"/>
      <c r="AP125" s="520">
        <v>0</v>
      </c>
      <c r="AQ125" s="521"/>
      <c r="AR125" s="53"/>
      <c r="AS125" s="518"/>
      <c r="AT125" s="519"/>
      <c r="AU125" s="520">
        <v>0</v>
      </c>
      <c r="AV125" s="521"/>
      <c r="AW125" s="53"/>
      <c r="AX125" s="518"/>
      <c r="AY125" s="519"/>
      <c r="AZ125" s="520">
        <v>0</v>
      </c>
      <c r="BA125" s="521"/>
      <c r="BB125" s="53"/>
      <c r="BC125" s="518"/>
      <c r="BD125" s="519"/>
      <c r="BE125" s="520">
        <v>0</v>
      </c>
      <c r="BF125" s="521"/>
      <c r="BG125" s="53"/>
      <c r="BH125" s="518"/>
      <c r="BI125" s="519"/>
      <c r="BJ125" s="520">
        <v>0</v>
      </c>
      <c r="BK125" s="521"/>
      <c r="BL125" s="53"/>
      <c r="BM125" s="518"/>
      <c r="BN125" s="519"/>
      <c r="BO125" s="520">
        <v>0</v>
      </c>
      <c r="BP125" s="521"/>
      <c r="BQ125" s="53"/>
      <c r="BR125" s="518"/>
      <c r="BS125" s="519"/>
      <c r="BT125" s="520">
        <f>SUM(L125:BO125)</f>
        <v>0</v>
      </c>
      <c r="BU125" s="521"/>
      <c r="BV125" s="53"/>
      <c r="BW125" s="465"/>
    </row>
    <row r="126" spans="1:75" hidden="1" x14ac:dyDescent="0.2">
      <c r="A126" s="377"/>
      <c r="B126" s="377"/>
      <c r="C126" s="377"/>
      <c r="D126" s="465" t="s">
        <v>506</v>
      </c>
      <c r="E126" s="417"/>
      <c r="F126" s="478"/>
      <c r="G126" s="102">
        <v>0</v>
      </c>
      <c r="H126" s="101"/>
      <c r="I126" s="53"/>
      <c r="J126" s="518"/>
      <c r="K126" s="522"/>
      <c r="L126" s="102">
        <v>0</v>
      </c>
      <c r="M126" s="101"/>
      <c r="N126" s="53"/>
      <c r="O126" s="518"/>
      <c r="P126" s="522"/>
      <c r="Q126" s="102">
        <v>0</v>
      </c>
      <c r="R126" s="101"/>
      <c r="S126" s="53"/>
      <c r="T126" s="518"/>
      <c r="U126" s="522"/>
      <c r="V126" s="102">
        <v>0</v>
      </c>
      <c r="W126" s="101"/>
      <c r="X126" s="53"/>
      <c r="Y126" s="518"/>
      <c r="Z126" s="522"/>
      <c r="AA126" s="102">
        <v>0</v>
      </c>
      <c r="AB126" s="101"/>
      <c r="AC126" s="53"/>
      <c r="AD126" s="518"/>
      <c r="AE126" s="522"/>
      <c r="AF126" s="102">
        <v>0</v>
      </c>
      <c r="AG126" s="101"/>
      <c r="AH126" s="53"/>
      <c r="AI126" s="518"/>
      <c r="AJ126" s="522"/>
      <c r="AK126" s="102">
        <v>0</v>
      </c>
      <c r="AL126" s="101"/>
      <c r="AM126" s="53"/>
      <c r="AN126" s="518"/>
      <c r="AO126" s="522"/>
      <c r="AP126" s="102">
        <v>0</v>
      </c>
      <c r="AQ126" s="101"/>
      <c r="AR126" s="53"/>
      <c r="AS126" s="518"/>
      <c r="AT126" s="522"/>
      <c r="AU126" s="102">
        <v>0</v>
      </c>
      <c r="AV126" s="101"/>
      <c r="AW126" s="53"/>
      <c r="AX126" s="518"/>
      <c r="AY126" s="522"/>
      <c r="AZ126" s="102">
        <v>0</v>
      </c>
      <c r="BA126" s="101"/>
      <c r="BB126" s="53"/>
      <c r="BC126" s="518"/>
      <c r="BD126" s="522"/>
      <c r="BE126" s="102">
        <v>0</v>
      </c>
      <c r="BF126" s="101"/>
      <c r="BG126" s="53"/>
      <c r="BH126" s="518"/>
      <c r="BI126" s="522"/>
      <c r="BJ126" s="102">
        <v>0</v>
      </c>
      <c r="BK126" s="101"/>
      <c r="BL126" s="53"/>
      <c r="BM126" s="518"/>
      <c r="BN126" s="522"/>
      <c r="BO126" s="102">
        <v>0</v>
      </c>
      <c r="BP126" s="101"/>
      <c r="BQ126" s="53"/>
      <c r="BR126" s="518"/>
      <c r="BS126" s="522"/>
      <c r="BT126" s="102">
        <f>SUM(L126:BO126)</f>
        <v>0</v>
      </c>
      <c r="BU126" s="101"/>
      <c r="BV126" s="53"/>
      <c r="BW126" s="465"/>
    </row>
    <row r="127" spans="1:75" hidden="1" x14ac:dyDescent="0.2">
      <c r="A127" s="377"/>
      <c r="B127" s="377"/>
      <c r="C127" s="377"/>
      <c r="D127" s="465"/>
      <c r="E127" s="417"/>
      <c r="F127" s="377"/>
      <c r="G127" s="53"/>
      <c r="H127" s="53"/>
      <c r="I127" s="53"/>
      <c r="J127" s="518"/>
      <c r="K127" s="53"/>
      <c r="L127" s="53"/>
      <c r="M127" s="53"/>
      <c r="N127" s="53"/>
      <c r="O127" s="518"/>
      <c r="P127" s="53"/>
      <c r="Q127" s="53"/>
      <c r="R127" s="53"/>
      <c r="S127" s="53"/>
      <c r="T127" s="518"/>
      <c r="U127" s="53"/>
      <c r="V127" s="53"/>
      <c r="W127" s="53"/>
      <c r="X127" s="53"/>
      <c r="Y127" s="518"/>
      <c r="Z127" s="53"/>
      <c r="AA127" s="53"/>
      <c r="AB127" s="53"/>
      <c r="AC127" s="53"/>
      <c r="AD127" s="518"/>
      <c r="AE127" s="53"/>
      <c r="AF127" s="53"/>
      <c r="AG127" s="53"/>
      <c r="AH127" s="53"/>
      <c r="AI127" s="518"/>
      <c r="AJ127" s="53"/>
      <c r="AK127" s="53"/>
      <c r="AL127" s="53"/>
      <c r="AM127" s="53"/>
      <c r="AN127" s="518"/>
      <c r="AO127" s="53"/>
      <c r="AP127" s="53"/>
      <c r="AQ127" s="53"/>
      <c r="AR127" s="53"/>
      <c r="AS127" s="518"/>
      <c r="AT127" s="53"/>
      <c r="AU127" s="53"/>
      <c r="AV127" s="53"/>
      <c r="AW127" s="53"/>
      <c r="AX127" s="518"/>
      <c r="AY127" s="53"/>
      <c r="AZ127" s="53"/>
      <c r="BA127" s="53"/>
      <c r="BB127" s="53"/>
      <c r="BC127" s="518"/>
      <c r="BD127" s="53"/>
      <c r="BE127" s="53"/>
      <c r="BF127" s="53"/>
      <c r="BG127" s="53"/>
      <c r="BH127" s="518"/>
      <c r="BI127" s="53"/>
      <c r="BJ127" s="53"/>
      <c r="BK127" s="53"/>
      <c r="BL127" s="53"/>
      <c r="BM127" s="518"/>
      <c r="BN127" s="53"/>
      <c r="BO127" s="53"/>
      <c r="BP127" s="53"/>
      <c r="BQ127" s="53"/>
      <c r="BR127" s="518"/>
      <c r="BS127" s="53"/>
      <c r="BT127" s="53"/>
      <c r="BU127" s="53"/>
      <c r="BV127" s="53"/>
      <c r="BW127" s="465"/>
    </row>
    <row r="128" spans="1:75" hidden="1" x14ac:dyDescent="0.2">
      <c r="A128" s="377"/>
      <c r="B128" s="377"/>
      <c r="C128" s="377"/>
      <c r="D128" s="465" t="s">
        <v>511</v>
      </c>
      <c r="E128" s="417"/>
      <c r="F128" s="377"/>
      <c r="G128" s="53">
        <v>0</v>
      </c>
      <c r="H128" s="53"/>
      <c r="I128" s="53"/>
      <c r="J128" s="518"/>
      <c r="K128" s="53"/>
      <c r="L128" s="53">
        <f>SUM(L129:L130)</f>
        <v>0</v>
      </c>
      <c r="M128" s="53"/>
      <c r="N128" s="53"/>
      <c r="O128" s="518"/>
      <c r="P128" s="53"/>
      <c r="Q128" s="53">
        <f>SUM(Q129:Q130)</f>
        <v>0</v>
      </c>
      <c r="R128" s="53"/>
      <c r="S128" s="53"/>
      <c r="T128" s="518"/>
      <c r="U128" s="53"/>
      <c r="V128" s="53">
        <f>SUM(V129:V130)</f>
        <v>0</v>
      </c>
      <c r="W128" s="53"/>
      <c r="X128" s="53"/>
      <c r="Y128" s="518"/>
      <c r="Z128" s="53"/>
      <c r="AA128" s="53">
        <f>SUM(AA129:AA130)</f>
        <v>0</v>
      </c>
      <c r="AB128" s="53"/>
      <c r="AC128" s="53"/>
      <c r="AD128" s="518"/>
      <c r="AE128" s="53"/>
      <c r="AF128" s="53">
        <f>SUM(AF129:AF130)</f>
        <v>0</v>
      </c>
      <c r="AG128" s="53"/>
      <c r="AH128" s="53"/>
      <c r="AI128" s="518"/>
      <c r="AJ128" s="53"/>
      <c r="AK128" s="53">
        <f>SUM(AK129:AK130)</f>
        <v>0</v>
      </c>
      <c r="AL128" s="53"/>
      <c r="AM128" s="53"/>
      <c r="AN128" s="518"/>
      <c r="AO128" s="53"/>
      <c r="AP128" s="53">
        <f>SUM(AP129:AP130)</f>
        <v>0</v>
      </c>
      <c r="AQ128" s="53"/>
      <c r="AR128" s="53"/>
      <c r="AS128" s="518"/>
      <c r="AT128" s="53"/>
      <c r="AU128" s="53">
        <f>SUM(AU129:AU130)</f>
        <v>0</v>
      </c>
      <c r="AV128" s="53"/>
      <c r="AW128" s="53"/>
      <c r="AX128" s="518"/>
      <c r="AY128" s="53"/>
      <c r="AZ128" s="53">
        <f>SUM(AZ129:AZ130)</f>
        <v>0</v>
      </c>
      <c r="BA128" s="53"/>
      <c r="BB128" s="53"/>
      <c r="BC128" s="518"/>
      <c r="BD128" s="53"/>
      <c r="BE128" s="53">
        <f>SUM(BE129:BE130)</f>
        <v>0</v>
      </c>
      <c r="BF128" s="53"/>
      <c r="BG128" s="53"/>
      <c r="BH128" s="518"/>
      <c r="BI128" s="53"/>
      <c r="BJ128" s="53">
        <f>SUM(BJ129:BJ130)</f>
        <v>0</v>
      </c>
      <c r="BK128" s="53"/>
      <c r="BL128" s="53"/>
      <c r="BM128" s="518"/>
      <c r="BN128" s="53"/>
      <c r="BO128" s="53">
        <f>SUM(BO129:BO130)</f>
        <v>0</v>
      </c>
      <c r="BP128" s="53"/>
      <c r="BQ128" s="53"/>
      <c r="BR128" s="518"/>
      <c r="BS128" s="53"/>
      <c r="BT128" s="53">
        <f>SUM(BT129:BT130)</f>
        <v>0</v>
      </c>
      <c r="BU128" s="53"/>
      <c r="BV128" s="53"/>
      <c r="BW128" s="465"/>
    </row>
    <row r="129" spans="1:75" hidden="1" x14ac:dyDescent="0.2">
      <c r="A129" s="377"/>
      <c r="B129" s="377"/>
      <c r="C129" s="377"/>
      <c r="D129" s="465" t="s">
        <v>505</v>
      </c>
      <c r="E129" s="417"/>
      <c r="F129" s="469"/>
      <c r="G129" s="520">
        <v>0</v>
      </c>
      <c r="H129" s="521"/>
      <c r="I129" s="53"/>
      <c r="J129" s="518"/>
      <c r="K129" s="519"/>
      <c r="L129" s="520">
        <v>0</v>
      </c>
      <c r="M129" s="521"/>
      <c r="N129" s="53"/>
      <c r="O129" s="518"/>
      <c r="P129" s="519"/>
      <c r="Q129" s="520">
        <v>0</v>
      </c>
      <c r="R129" s="521"/>
      <c r="S129" s="53"/>
      <c r="T129" s="518"/>
      <c r="U129" s="519"/>
      <c r="V129" s="520">
        <v>0</v>
      </c>
      <c r="W129" s="521"/>
      <c r="X129" s="53"/>
      <c r="Y129" s="518"/>
      <c r="Z129" s="519"/>
      <c r="AA129" s="520">
        <v>0</v>
      </c>
      <c r="AB129" s="521"/>
      <c r="AC129" s="53"/>
      <c r="AD129" s="518"/>
      <c r="AE129" s="519"/>
      <c r="AF129" s="520">
        <v>0</v>
      </c>
      <c r="AG129" s="521"/>
      <c r="AH129" s="53"/>
      <c r="AI129" s="518"/>
      <c r="AJ129" s="519"/>
      <c r="AK129" s="520">
        <v>0</v>
      </c>
      <c r="AL129" s="521"/>
      <c r="AM129" s="53"/>
      <c r="AN129" s="518"/>
      <c r="AO129" s="519"/>
      <c r="AP129" s="520">
        <v>0</v>
      </c>
      <c r="AQ129" s="521"/>
      <c r="AR129" s="53"/>
      <c r="AS129" s="518"/>
      <c r="AT129" s="519"/>
      <c r="AU129" s="520">
        <v>0</v>
      </c>
      <c r="AV129" s="521"/>
      <c r="AW129" s="53"/>
      <c r="AX129" s="518"/>
      <c r="AY129" s="519"/>
      <c r="AZ129" s="520">
        <v>0</v>
      </c>
      <c r="BA129" s="521"/>
      <c r="BB129" s="53"/>
      <c r="BC129" s="518"/>
      <c r="BD129" s="519"/>
      <c r="BE129" s="520">
        <v>0</v>
      </c>
      <c r="BF129" s="521"/>
      <c r="BG129" s="53"/>
      <c r="BH129" s="518"/>
      <c r="BI129" s="519"/>
      <c r="BJ129" s="520">
        <v>0</v>
      </c>
      <c r="BK129" s="521"/>
      <c r="BL129" s="53"/>
      <c r="BM129" s="518"/>
      <c r="BN129" s="519"/>
      <c r="BO129" s="520">
        <v>0</v>
      </c>
      <c r="BP129" s="521"/>
      <c r="BQ129" s="53"/>
      <c r="BR129" s="518"/>
      <c r="BS129" s="519"/>
      <c r="BT129" s="520">
        <f>SUM(L129:BO129)</f>
        <v>0</v>
      </c>
      <c r="BU129" s="521"/>
      <c r="BV129" s="53"/>
      <c r="BW129" s="465"/>
    </row>
    <row r="130" spans="1:75" hidden="1" x14ac:dyDescent="0.2">
      <c r="A130" s="377"/>
      <c r="B130" s="377"/>
      <c r="C130" s="377"/>
      <c r="D130" s="465" t="s">
        <v>506</v>
      </c>
      <c r="E130" s="417"/>
      <c r="F130" s="478"/>
      <c r="G130" s="102">
        <v>0</v>
      </c>
      <c r="H130" s="101"/>
      <c r="I130" s="53"/>
      <c r="J130" s="518"/>
      <c r="K130" s="522"/>
      <c r="L130" s="102">
        <v>0</v>
      </c>
      <c r="M130" s="101"/>
      <c r="N130" s="53"/>
      <c r="O130" s="518"/>
      <c r="P130" s="522"/>
      <c r="Q130" s="102">
        <v>0</v>
      </c>
      <c r="R130" s="101"/>
      <c r="S130" s="53"/>
      <c r="T130" s="518"/>
      <c r="U130" s="522"/>
      <c r="V130" s="102">
        <v>0</v>
      </c>
      <c r="W130" s="101"/>
      <c r="X130" s="53"/>
      <c r="Y130" s="518"/>
      <c r="Z130" s="522"/>
      <c r="AA130" s="102">
        <v>0</v>
      </c>
      <c r="AB130" s="101"/>
      <c r="AC130" s="53"/>
      <c r="AD130" s="518"/>
      <c r="AE130" s="522"/>
      <c r="AF130" s="102">
        <v>0</v>
      </c>
      <c r="AG130" s="101"/>
      <c r="AH130" s="53"/>
      <c r="AI130" s="518"/>
      <c r="AJ130" s="522"/>
      <c r="AK130" s="102">
        <v>0</v>
      </c>
      <c r="AL130" s="101"/>
      <c r="AM130" s="53"/>
      <c r="AN130" s="518"/>
      <c r="AO130" s="522"/>
      <c r="AP130" s="102">
        <v>0</v>
      </c>
      <c r="AQ130" s="101"/>
      <c r="AR130" s="53"/>
      <c r="AS130" s="518"/>
      <c r="AT130" s="522"/>
      <c r="AU130" s="102">
        <v>0</v>
      </c>
      <c r="AV130" s="101"/>
      <c r="AW130" s="53"/>
      <c r="AX130" s="518"/>
      <c r="AY130" s="522"/>
      <c r="AZ130" s="102">
        <v>0</v>
      </c>
      <c r="BA130" s="101"/>
      <c r="BB130" s="53"/>
      <c r="BC130" s="518"/>
      <c r="BD130" s="522"/>
      <c r="BE130" s="102">
        <v>0</v>
      </c>
      <c r="BF130" s="101"/>
      <c r="BG130" s="53"/>
      <c r="BH130" s="518"/>
      <c r="BI130" s="522"/>
      <c r="BJ130" s="102">
        <v>0</v>
      </c>
      <c r="BK130" s="101"/>
      <c r="BL130" s="53"/>
      <c r="BM130" s="518"/>
      <c r="BN130" s="522"/>
      <c r="BO130" s="102">
        <v>0</v>
      </c>
      <c r="BP130" s="101"/>
      <c r="BQ130" s="53"/>
      <c r="BR130" s="518"/>
      <c r="BS130" s="522"/>
      <c r="BT130" s="102">
        <f>SUM(L130:BO130)</f>
        <v>0</v>
      </c>
      <c r="BU130" s="101"/>
      <c r="BV130" s="53"/>
      <c r="BW130" s="465"/>
    </row>
    <row r="131" spans="1:75" hidden="1" x14ac:dyDescent="0.2">
      <c r="A131" s="377"/>
      <c r="B131" s="377"/>
      <c r="C131" s="377"/>
      <c r="D131" s="465"/>
      <c r="E131" s="417"/>
      <c r="F131" s="377"/>
      <c r="G131" s="53"/>
      <c r="H131" s="53"/>
      <c r="I131" s="53"/>
      <c r="J131" s="518"/>
      <c r="K131" s="53"/>
      <c r="L131" s="53"/>
      <c r="M131" s="53"/>
      <c r="N131" s="53"/>
      <c r="O131" s="518"/>
      <c r="P131" s="53"/>
      <c r="Q131" s="53"/>
      <c r="R131" s="53"/>
      <c r="S131" s="53"/>
      <c r="T131" s="518"/>
      <c r="U131" s="53"/>
      <c r="V131" s="53"/>
      <c r="W131" s="53"/>
      <c r="X131" s="53"/>
      <c r="Y131" s="518"/>
      <c r="Z131" s="53"/>
      <c r="AA131" s="53"/>
      <c r="AB131" s="53"/>
      <c r="AC131" s="53"/>
      <c r="AD131" s="518"/>
      <c r="AE131" s="53"/>
      <c r="AF131" s="53"/>
      <c r="AG131" s="53"/>
      <c r="AH131" s="53"/>
      <c r="AI131" s="518"/>
      <c r="AJ131" s="53"/>
      <c r="AK131" s="53"/>
      <c r="AL131" s="53"/>
      <c r="AM131" s="53"/>
      <c r="AN131" s="518"/>
      <c r="AO131" s="53"/>
      <c r="AP131" s="53"/>
      <c r="AQ131" s="53"/>
      <c r="AR131" s="53"/>
      <c r="AS131" s="518"/>
      <c r="AT131" s="53"/>
      <c r="AU131" s="53"/>
      <c r="AV131" s="53"/>
      <c r="AW131" s="53"/>
      <c r="AX131" s="518"/>
      <c r="AY131" s="53"/>
      <c r="AZ131" s="53"/>
      <c r="BA131" s="53"/>
      <c r="BB131" s="53"/>
      <c r="BC131" s="518"/>
      <c r="BD131" s="53"/>
      <c r="BE131" s="53"/>
      <c r="BF131" s="53"/>
      <c r="BG131" s="53"/>
      <c r="BH131" s="518"/>
      <c r="BI131" s="53"/>
      <c r="BJ131" s="53"/>
      <c r="BK131" s="53"/>
      <c r="BL131" s="53"/>
      <c r="BM131" s="518"/>
      <c r="BN131" s="53"/>
      <c r="BO131" s="53"/>
      <c r="BP131" s="53"/>
      <c r="BQ131" s="53"/>
      <c r="BR131" s="518"/>
      <c r="BS131" s="53"/>
      <c r="BT131" s="53"/>
      <c r="BU131" s="53"/>
      <c r="BV131" s="53"/>
      <c r="BW131" s="465"/>
    </row>
    <row r="132" spans="1:75" x14ac:dyDescent="0.2">
      <c r="A132" s="377"/>
      <c r="B132" s="377"/>
      <c r="C132" s="377"/>
      <c r="D132" s="465" t="s">
        <v>512</v>
      </c>
      <c r="E132" s="417"/>
      <c r="F132" s="377"/>
      <c r="G132" s="53">
        <f>SUM(G133:G134)</f>
        <v>778000</v>
      </c>
      <c r="H132" s="53"/>
      <c r="I132" s="53"/>
      <c r="J132" s="518"/>
      <c r="K132" s="53"/>
      <c r="L132" s="53">
        <f>SUM(L133:L134)</f>
        <v>777665</v>
      </c>
      <c r="M132" s="53"/>
      <c r="N132" s="53"/>
      <c r="O132" s="518"/>
      <c r="P132" s="53"/>
      <c r="Q132" s="53">
        <f>SUM(Q133:Q134)</f>
        <v>0</v>
      </c>
      <c r="R132" s="53"/>
      <c r="S132" s="53"/>
      <c r="T132" s="518"/>
      <c r="U132" s="53"/>
      <c r="V132" s="53">
        <f>SUM(V133:V134)</f>
        <v>0</v>
      </c>
      <c r="W132" s="53"/>
      <c r="X132" s="53"/>
      <c r="Y132" s="518"/>
      <c r="Z132" s="53"/>
      <c r="AA132" s="53">
        <f>SUM(AA133:AA134)</f>
        <v>0</v>
      </c>
      <c r="AB132" s="53"/>
      <c r="AC132" s="53"/>
      <c r="AD132" s="518"/>
      <c r="AE132" s="53"/>
      <c r="AF132" s="53">
        <f>SUM(AF133:AF134)</f>
        <v>0</v>
      </c>
      <c r="AG132" s="53"/>
      <c r="AH132" s="53"/>
      <c r="AI132" s="518"/>
      <c r="AJ132" s="53"/>
      <c r="AK132" s="53">
        <f>SUM(AK133:AK134)</f>
        <v>0</v>
      </c>
      <c r="AL132" s="53"/>
      <c r="AM132" s="53"/>
      <c r="AN132" s="518"/>
      <c r="AO132" s="53"/>
      <c r="AP132" s="53">
        <f>SUM(AP133:AP134)</f>
        <v>0</v>
      </c>
      <c r="AQ132" s="53"/>
      <c r="AR132" s="53"/>
      <c r="AS132" s="518"/>
      <c r="AT132" s="53"/>
      <c r="AU132" s="53">
        <f>SUM(AU133:AU134)</f>
        <v>0</v>
      </c>
      <c r="AV132" s="53"/>
      <c r="AW132" s="53"/>
      <c r="AX132" s="518"/>
      <c r="AY132" s="53"/>
      <c r="AZ132" s="53">
        <f>SUM(AZ133:AZ134)</f>
        <v>0</v>
      </c>
      <c r="BA132" s="53"/>
      <c r="BB132" s="53"/>
      <c r="BC132" s="518"/>
      <c r="BD132" s="53"/>
      <c r="BE132" s="53">
        <f>SUM(BE133:BE134)</f>
        <v>0</v>
      </c>
      <c r="BF132" s="53"/>
      <c r="BG132" s="53"/>
      <c r="BH132" s="518"/>
      <c r="BI132" s="53"/>
      <c r="BJ132" s="53">
        <f>SUM(BJ133:BJ134)</f>
        <v>0</v>
      </c>
      <c r="BK132" s="53"/>
      <c r="BL132" s="53"/>
      <c r="BM132" s="518"/>
      <c r="BN132" s="53"/>
      <c r="BO132" s="53">
        <f>SUM(BO133:BO134)</f>
        <v>0</v>
      </c>
      <c r="BP132" s="53"/>
      <c r="BQ132" s="53"/>
      <c r="BR132" s="518"/>
      <c r="BS132" s="53"/>
      <c r="BT132" s="53">
        <f>SUM(BT133:BT134)</f>
        <v>777665</v>
      </c>
      <c r="BU132" s="53"/>
      <c r="BV132" s="53"/>
      <c r="BW132" s="465"/>
    </row>
    <row r="133" spans="1:75" x14ac:dyDescent="0.2">
      <c r="A133" s="377"/>
      <c r="B133" s="377"/>
      <c r="C133" s="377"/>
      <c r="D133" s="465" t="s">
        <v>505</v>
      </c>
      <c r="E133" s="417"/>
      <c r="F133" s="469"/>
      <c r="G133" s="520">
        <v>392000</v>
      </c>
      <c r="H133" s="521"/>
      <c r="I133" s="53"/>
      <c r="J133" s="518"/>
      <c r="K133" s="519"/>
      <c r="L133" s="520">
        <v>391647</v>
      </c>
      <c r="M133" s="521"/>
      <c r="N133" s="53"/>
      <c r="O133" s="518"/>
      <c r="P133" s="519"/>
      <c r="Q133" s="520">
        <v>0</v>
      </c>
      <c r="R133" s="521"/>
      <c r="S133" s="53"/>
      <c r="T133" s="518"/>
      <c r="U133" s="519"/>
      <c r="V133" s="520">
        <v>0</v>
      </c>
      <c r="W133" s="521"/>
      <c r="X133" s="53"/>
      <c r="Y133" s="518"/>
      <c r="Z133" s="519"/>
      <c r="AA133" s="520">
        <v>0</v>
      </c>
      <c r="AB133" s="521"/>
      <c r="AC133" s="53"/>
      <c r="AD133" s="518"/>
      <c r="AE133" s="519"/>
      <c r="AF133" s="520">
        <v>0</v>
      </c>
      <c r="AG133" s="521"/>
      <c r="AH133" s="53"/>
      <c r="AI133" s="518"/>
      <c r="AJ133" s="519"/>
      <c r="AK133" s="520">
        <v>0</v>
      </c>
      <c r="AL133" s="521"/>
      <c r="AM133" s="53"/>
      <c r="AN133" s="518"/>
      <c r="AO133" s="519"/>
      <c r="AP133" s="520">
        <v>0</v>
      </c>
      <c r="AQ133" s="521"/>
      <c r="AR133" s="53"/>
      <c r="AS133" s="518"/>
      <c r="AT133" s="519"/>
      <c r="AU133" s="520">
        <v>0</v>
      </c>
      <c r="AV133" s="521"/>
      <c r="AW133" s="53"/>
      <c r="AX133" s="518"/>
      <c r="AY133" s="519"/>
      <c r="AZ133" s="520">
        <v>0</v>
      </c>
      <c r="BA133" s="521"/>
      <c r="BB133" s="53"/>
      <c r="BC133" s="518"/>
      <c r="BD133" s="519"/>
      <c r="BE133" s="520">
        <v>0</v>
      </c>
      <c r="BF133" s="521"/>
      <c r="BG133" s="53"/>
      <c r="BH133" s="518"/>
      <c r="BI133" s="519"/>
      <c r="BJ133" s="520">
        <v>0</v>
      </c>
      <c r="BK133" s="521"/>
      <c r="BL133" s="53"/>
      <c r="BM133" s="518"/>
      <c r="BN133" s="519"/>
      <c r="BO133" s="520">
        <v>0</v>
      </c>
      <c r="BP133" s="521"/>
      <c r="BQ133" s="53"/>
      <c r="BR133" s="518"/>
      <c r="BS133" s="519"/>
      <c r="BT133" s="520">
        <f>SUM(L133:BO133)</f>
        <v>391647</v>
      </c>
      <c r="BU133" s="521"/>
      <c r="BV133" s="53"/>
      <c r="BW133" s="465"/>
    </row>
    <row r="134" spans="1:75" x14ac:dyDescent="0.2">
      <c r="A134" s="377"/>
      <c r="B134" s="377"/>
      <c r="C134" s="377"/>
      <c r="D134" s="465" t="s">
        <v>506</v>
      </c>
      <c r="E134" s="417"/>
      <c r="F134" s="478"/>
      <c r="G134" s="102">
        <v>386000</v>
      </c>
      <c r="H134" s="101"/>
      <c r="I134" s="53"/>
      <c r="J134" s="518"/>
      <c r="K134" s="522"/>
      <c r="L134" s="102">
        <v>386018</v>
      </c>
      <c r="M134" s="101"/>
      <c r="N134" s="53"/>
      <c r="O134" s="518"/>
      <c r="P134" s="522"/>
      <c r="Q134" s="102">
        <v>0</v>
      </c>
      <c r="R134" s="101"/>
      <c r="S134" s="53"/>
      <c r="T134" s="518"/>
      <c r="U134" s="522"/>
      <c r="V134" s="102">
        <v>0</v>
      </c>
      <c r="W134" s="101"/>
      <c r="X134" s="53"/>
      <c r="Y134" s="518"/>
      <c r="Z134" s="522"/>
      <c r="AA134" s="102">
        <v>0</v>
      </c>
      <c r="AB134" s="101"/>
      <c r="AC134" s="53"/>
      <c r="AD134" s="518"/>
      <c r="AE134" s="522"/>
      <c r="AF134" s="102">
        <v>0</v>
      </c>
      <c r="AG134" s="101"/>
      <c r="AH134" s="53"/>
      <c r="AI134" s="518"/>
      <c r="AJ134" s="522"/>
      <c r="AK134" s="102">
        <v>0</v>
      </c>
      <c r="AL134" s="101"/>
      <c r="AM134" s="53"/>
      <c r="AN134" s="518"/>
      <c r="AO134" s="522"/>
      <c r="AP134" s="102">
        <v>0</v>
      </c>
      <c r="AQ134" s="101"/>
      <c r="AR134" s="53"/>
      <c r="AS134" s="518"/>
      <c r="AT134" s="522"/>
      <c r="AU134" s="102">
        <v>0</v>
      </c>
      <c r="AV134" s="101"/>
      <c r="AW134" s="53"/>
      <c r="AX134" s="518"/>
      <c r="AY134" s="522"/>
      <c r="AZ134" s="102">
        <v>0</v>
      </c>
      <c r="BA134" s="101"/>
      <c r="BB134" s="53"/>
      <c r="BC134" s="518"/>
      <c r="BD134" s="522"/>
      <c r="BE134" s="102">
        <v>0</v>
      </c>
      <c r="BF134" s="101"/>
      <c r="BG134" s="53"/>
      <c r="BH134" s="518"/>
      <c r="BI134" s="522"/>
      <c r="BJ134" s="102">
        <v>0</v>
      </c>
      <c r="BK134" s="101"/>
      <c r="BL134" s="53"/>
      <c r="BM134" s="518"/>
      <c r="BN134" s="522"/>
      <c r="BO134" s="102">
        <v>0</v>
      </c>
      <c r="BP134" s="101"/>
      <c r="BQ134" s="53"/>
      <c r="BR134" s="518"/>
      <c r="BS134" s="522"/>
      <c r="BT134" s="102">
        <f>SUM(L134:BO134)</f>
        <v>386018</v>
      </c>
      <c r="BU134" s="101"/>
      <c r="BV134" s="53"/>
      <c r="BW134" s="465"/>
    </row>
    <row r="135" spans="1:75" ht="12.75" customHeight="1" x14ac:dyDescent="0.2">
      <c r="A135" s="377"/>
      <c r="B135" s="377"/>
      <c r="C135" s="377"/>
      <c r="D135" s="465"/>
      <c r="E135" s="417"/>
      <c r="F135" s="377"/>
      <c r="G135" s="53"/>
      <c r="H135" s="53"/>
      <c r="I135" s="53"/>
      <c r="J135" s="518"/>
      <c r="K135" s="53"/>
      <c r="L135" s="53"/>
      <c r="M135" s="53"/>
      <c r="N135" s="53"/>
      <c r="O135" s="518"/>
      <c r="P135" s="53"/>
      <c r="Q135" s="53"/>
      <c r="R135" s="53"/>
      <c r="S135" s="53"/>
      <c r="T135" s="518"/>
      <c r="U135" s="53"/>
      <c r="V135" s="53"/>
      <c r="W135" s="53"/>
      <c r="X135" s="53"/>
      <c r="Y135" s="518"/>
      <c r="Z135" s="53"/>
      <c r="AA135" s="53"/>
      <c r="AB135" s="53"/>
      <c r="AC135" s="53"/>
      <c r="AD135" s="518"/>
      <c r="AE135" s="53"/>
      <c r="AF135" s="53"/>
      <c r="AG135" s="53"/>
      <c r="AH135" s="53"/>
      <c r="AI135" s="518"/>
      <c r="AJ135" s="53"/>
      <c r="AK135" s="53"/>
      <c r="AL135" s="53"/>
      <c r="AM135" s="53"/>
      <c r="AN135" s="518"/>
      <c r="AO135" s="53"/>
      <c r="AP135" s="53"/>
      <c r="AQ135" s="53"/>
      <c r="AR135" s="53"/>
      <c r="AS135" s="518"/>
      <c r="AT135" s="53"/>
      <c r="AU135" s="53"/>
      <c r="AV135" s="53"/>
      <c r="AW135" s="53"/>
      <c r="AX135" s="518"/>
      <c r="AY135" s="53"/>
      <c r="AZ135" s="53"/>
      <c r="BA135" s="53"/>
      <c r="BB135" s="53"/>
      <c r="BC135" s="518"/>
      <c r="BD135" s="53"/>
      <c r="BE135" s="53"/>
      <c r="BF135" s="53"/>
      <c r="BG135" s="53"/>
      <c r="BH135" s="518"/>
      <c r="BI135" s="53"/>
      <c r="BJ135" s="53"/>
      <c r="BK135" s="53"/>
      <c r="BL135" s="53"/>
      <c r="BM135" s="518"/>
      <c r="BN135" s="53"/>
      <c r="BO135" s="53"/>
      <c r="BP135" s="53"/>
      <c r="BQ135" s="53"/>
      <c r="BR135" s="518"/>
      <c r="BS135" s="53"/>
      <c r="BT135" s="53"/>
      <c r="BU135" s="53"/>
      <c r="BV135" s="53"/>
      <c r="BW135" s="465"/>
    </row>
    <row r="136" spans="1:75" ht="12.75" customHeight="1" x14ac:dyDescent="0.2">
      <c r="A136" s="377"/>
      <c r="B136" s="377"/>
      <c r="C136" s="377"/>
      <c r="D136" s="465" t="s">
        <v>513</v>
      </c>
      <c r="E136" s="417"/>
      <c r="F136" s="377"/>
      <c r="G136" s="53">
        <f>SUM(G137:G138)</f>
        <v>4924000</v>
      </c>
      <c r="H136" s="53"/>
      <c r="I136" s="53"/>
      <c r="J136" s="518"/>
      <c r="K136" s="53"/>
      <c r="L136" s="53">
        <f>SUM(L137:L138)</f>
        <v>0</v>
      </c>
      <c r="M136" s="53"/>
      <c r="N136" s="53"/>
      <c r="O136" s="518"/>
      <c r="P136" s="53"/>
      <c r="Q136" s="53">
        <f>SUM(Q137:Q138)</f>
        <v>4923900</v>
      </c>
      <c r="R136" s="53"/>
      <c r="S136" s="53"/>
      <c r="T136" s="518"/>
      <c r="U136" s="53"/>
      <c r="V136" s="53">
        <f>SUM(V137:V138)</f>
        <v>0</v>
      </c>
      <c r="W136" s="53"/>
      <c r="X136" s="53"/>
      <c r="Y136" s="518"/>
      <c r="Z136" s="53"/>
      <c r="AA136" s="53">
        <f>SUM(AA137:AA138)</f>
        <v>0</v>
      </c>
      <c r="AB136" s="53"/>
      <c r="AC136" s="53"/>
      <c r="AD136" s="518"/>
      <c r="AE136" s="53"/>
      <c r="AF136" s="53">
        <f>SUM(AF137:AF138)</f>
        <v>0</v>
      </c>
      <c r="AG136" s="53"/>
      <c r="AH136" s="53"/>
      <c r="AI136" s="518"/>
      <c r="AJ136" s="53"/>
      <c r="AK136" s="53">
        <f>SUM(AK137:AK138)</f>
        <v>0</v>
      </c>
      <c r="AL136" s="53"/>
      <c r="AM136" s="53"/>
      <c r="AN136" s="518"/>
      <c r="AO136" s="53"/>
      <c r="AP136" s="53">
        <f>SUM(AP137:AP138)</f>
        <v>0</v>
      </c>
      <c r="AQ136" s="53"/>
      <c r="AR136" s="53"/>
      <c r="AS136" s="518"/>
      <c r="AT136" s="53"/>
      <c r="AU136" s="53">
        <f>SUM(AU137:AU138)</f>
        <v>0</v>
      </c>
      <c r="AV136" s="53"/>
      <c r="AW136" s="53"/>
      <c r="AX136" s="518"/>
      <c r="AY136" s="53"/>
      <c r="AZ136" s="53">
        <f>SUM(AZ137:AZ138)</f>
        <v>0</v>
      </c>
      <c r="BA136" s="53"/>
      <c r="BB136" s="53"/>
      <c r="BC136" s="518"/>
      <c r="BD136" s="53"/>
      <c r="BE136" s="53">
        <f>SUM(BE137:BE138)</f>
        <v>0</v>
      </c>
      <c r="BF136" s="53"/>
      <c r="BG136" s="53"/>
      <c r="BH136" s="518"/>
      <c r="BI136" s="53"/>
      <c r="BJ136" s="53">
        <f>SUM(BJ137:BJ138)</f>
        <v>0</v>
      </c>
      <c r="BK136" s="53"/>
      <c r="BL136" s="53"/>
      <c r="BM136" s="518"/>
      <c r="BN136" s="53"/>
      <c r="BO136" s="53">
        <f>SUM(BO137:BO138)</f>
        <v>0</v>
      </c>
      <c r="BP136" s="53"/>
      <c r="BQ136" s="53"/>
      <c r="BR136" s="518"/>
      <c r="BS136" s="53"/>
      <c r="BT136" s="53">
        <f>SUM(BT137:BT138)</f>
        <v>4923900</v>
      </c>
      <c r="BU136" s="53"/>
      <c r="BV136" s="53"/>
      <c r="BW136" s="465"/>
    </row>
    <row r="137" spans="1:75" ht="12.75" customHeight="1" x14ac:dyDescent="0.2">
      <c r="A137" s="377"/>
      <c r="B137" s="377"/>
      <c r="C137" s="377"/>
      <c r="D137" s="465" t="s">
        <v>505</v>
      </c>
      <c r="E137" s="417"/>
      <c r="F137" s="469"/>
      <c r="G137" s="520">
        <v>1961000</v>
      </c>
      <c r="H137" s="521"/>
      <c r="I137" s="53"/>
      <c r="J137" s="518"/>
      <c r="K137" s="469"/>
      <c r="L137" s="520">
        <v>0</v>
      </c>
      <c r="M137" s="521"/>
      <c r="N137" s="53"/>
      <c r="O137" s="518"/>
      <c r="P137" s="469"/>
      <c r="Q137" s="520">
        <v>1960784</v>
      </c>
      <c r="R137" s="521"/>
      <c r="S137" s="53"/>
      <c r="T137" s="518"/>
      <c r="U137" s="469"/>
      <c r="V137" s="520">
        <v>0</v>
      </c>
      <c r="W137" s="521"/>
      <c r="X137" s="53"/>
      <c r="Y137" s="518"/>
      <c r="Z137" s="469"/>
      <c r="AA137" s="520">
        <v>0</v>
      </c>
      <c r="AB137" s="521"/>
      <c r="AC137" s="53"/>
      <c r="AD137" s="518"/>
      <c r="AE137" s="469"/>
      <c r="AF137" s="520">
        <v>0</v>
      </c>
      <c r="AG137" s="521"/>
      <c r="AH137" s="53"/>
      <c r="AI137" s="518"/>
      <c r="AJ137" s="469"/>
      <c r="AK137" s="520">
        <v>0</v>
      </c>
      <c r="AL137" s="521"/>
      <c r="AM137" s="53"/>
      <c r="AN137" s="518"/>
      <c r="AO137" s="469"/>
      <c r="AP137" s="520">
        <v>0</v>
      </c>
      <c r="AQ137" s="521"/>
      <c r="AR137" s="53"/>
      <c r="AS137" s="518"/>
      <c r="AT137" s="469"/>
      <c r="AU137" s="520">
        <v>0</v>
      </c>
      <c r="AV137" s="521"/>
      <c r="AW137" s="53"/>
      <c r="AX137" s="518"/>
      <c r="AY137" s="469"/>
      <c r="AZ137" s="520">
        <v>0</v>
      </c>
      <c r="BA137" s="521"/>
      <c r="BB137" s="53"/>
      <c r="BC137" s="518"/>
      <c r="BD137" s="469"/>
      <c r="BE137" s="520">
        <v>0</v>
      </c>
      <c r="BF137" s="521"/>
      <c r="BG137" s="53"/>
      <c r="BH137" s="518"/>
      <c r="BI137" s="469"/>
      <c r="BJ137" s="520">
        <v>0</v>
      </c>
      <c r="BK137" s="521"/>
      <c r="BL137" s="53"/>
      <c r="BM137" s="518"/>
      <c r="BN137" s="469"/>
      <c r="BO137" s="520">
        <v>0</v>
      </c>
      <c r="BP137" s="521"/>
      <c r="BQ137" s="53"/>
      <c r="BR137" s="518"/>
      <c r="BS137" s="469"/>
      <c r="BT137" s="520">
        <f>SUM(L137:BO137)</f>
        <v>1960784</v>
      </c>
      <c r="BU137" s="521"/>
      <c r="BV137" s="53"/>
      <c r="BW137" s="465"/>
    </row>
    <row r="138" spans="1:75" ht="12.75" customHeight="1" x14ac:dyDescent="0.2">
      <c r="A138" s="377"/>
      <c r="B138" s="377"/>
      <c r="C138" s="377"/>
      <c r="D138" s="465" t="s">
        <v>506</v>
      </c>
      <c r="E138" s="417"/>
      <c r="F138" s="478"/>
      <c r="G138" s="102">
        <v>2963000</v>
      </c>
      <c r="H138" s="101"/>
      <c r="I138" s="53"/>
      <c r="J138" s="518"/>
      <c r="K138" s="478"/>
      <c r="L138" s="102">
        <v>0</v>
      </c>
      <c r="M138" s="101"/>
      <c r="N138" s="53"/>
      <c r="O138" s="518"/>
      <c r="P138" s="478"/>
      <c r="Q138" s="102">
        <v>2963116</v>
      </c>
      <c r="R138" s="101"/>
      <c r="S138" s="53"/>
      <c r="T138" s="518"/>
      <c r="U138" s="478"/>
      <c r="V138" s="102">
        <v>0</v>
      </c>
      <c r="W138" s="101"/>
      <c r="X138" s="53"/>
      <c r="Y138" s="518"/>
      <c r="Z138" s="478"/>
      <c r="AA138" s="102">
        <v>0</v>
      </c>
      <c r="AB138" s="101"/>
      <c r="AC138" s="53"/>
      <c r="AD138" s="518"/>
      <c r="AE138" s="478"/>
      <c r="AF138" s="102">
        <v>0</v>
      </c>
      <c r="AG138" s="101"/>
      <c r="AH138" s="53"/>
      <c r="AI138" s="518"/>
      <c r="AJ138" s="478"/>
      <c r="AK138" s="102">
        <v>0</v>
      </c>
      <c r="AL138" s="101"/>
      <c r="AM138" s="53"/>
      <c r="AN138" s="518"/>
      <c r="AO138" s="478"/>
      <c r="AP138" s="102">
        <v>0</v>
      </c>
      <c r="AQ138" s="101"/>
      <c r="AR138" s="53"/>
      <c r="AS138" s="518"/>
      <c r="AT138" s="478"/>
      <c r="AU138" s="102">
        <v>0</v>
      </c>
      <c r="AV138" s="101"/>
      <c r="AW138" s="53"/>
      <c r="AX138" s="518"/>
      <c r="AY138" s="478"/>
      <c r="AZ138" s="102">
        <v>0</v>
      </c>
      <c r="BA138" s="101"/>
      <c r="BB138" s="53"/>
      <c r="BC138" s="518"/>
      <c r="BD138" s="478"/>
      <c r="BE138" s="102">
        <v>0</v>
      </c>
      <c r="BF138" s="101"/>
      <c r="BG138" s="53"/>
      <c r="BH138" s="518"/>
      <c r="BI138" s="478"/>
      <c r="BJ138" s="102">
        <v>0</v>
      </c>
      <c r="BK138" s="101"/>
      <c r="BL138" s="53"/>
      <c r="BM138" s="518"/>
      <c r="BN138" s="478"/>
      <c r="BO138" s="102">
        <v>0</v>
      </c>
      <c r="BP138" s="101"/>
      <c r="BQ138" s="53"/>
      <c r="BR138" s="518"/>
      <c r="BS138" s="478"/>
      <c r="BT138" s="102">
        <f>SUM(L138:BO138)</f>
        <v>2963116</v>
      </c>
      <c r="BU138" s="101"/>
      <c r="BV138" s="53"/>
      <c r="BW138" s="465"/>
    </row>
    <row r="139" spans="1:75" x14ac:dyDescent="0.2">
      <c r="A139" s="377"/>
      <c r="B139" s="377"/>
      <c r="C139" s="377"/>
      <c r="D139" s="465"/>
      <c r="E139" s="417"/>
      <c r="F139" s="377"/>
      <c r="G139" s="53"/>
      <c r="H139" s="53"/>
      <c r="I139" s="53"/>
      <c r="J139" s="518"/>
      <c r="K139" s="53"/>
      <c r="L139" s="53"/>
      <c r="M139" s="53"/>
      <c r="N139" s="53"/>
      <c r="O139" s="518"/>
      <c r="P139" s="53"/>
      <c r="Q139" s="53"/>
      <c r="R139" s="53"/>
      <c r="S139" s="53"/>
      <c r="T139" s="518"/>
      <c r="U139" s="53"/>
      <c r="V139" s="53"/>
      <c r="W139" s="53"/>
      <c r="X139" s="53"/>
      <c r="Y139" s="518"/>
      <c r="Z139" s="53"/>
      <c r="AA139" s="53"/>
      <c r="AB139" s="53"/>
      <c r="AC139" s="53"/>
      <c r="AD139" s="518"/>
      <c r="AE139" s="53"/>
      <c r="AF139" s="53"/>
      <c r="AG139" s="53"/>
      <c r="AH139" s="53"/>
      <c r="AI139" s="518"/>
      <c r="AJ139" s="53"/>
      <c r="AK139" s="53"/>
      <c r="AL139" s="53"/>
      <c r="AM139" s="53"/>
      <c r="AN139" s="518"/>
      <c r="AO139" s="53"/>
      <c r="AP139" s="53"/>
      <c r="AQ139" s="53"/>
      <c r="AR139" s="53"/>
      <c r="AS139" s="518"/>
      <c r="AT139" s="53"/>
      <c r="AU139" s="53"/>
      <c r="AV139" s="53"/>
      <c r="AW139" s="53"/>
      <c r="AX139" s="518"/>
      <c r="AY139" s="53"/>
      <c r="AZ139" s="53"/>
      <c r="BA139" s="53"/>
      <c r="BB139" s="53"/>
      <c r="BC139" s="518"/>
      <c r="BD139" s="53"/>
      <c r="BE139" s="53"/>
      <c r="BF139" s="53"/>
      <c r="BG139" s="53"/>
      <c r="BH139" s="518"/>
      <c r="BI139" s="53"/>
      <c r="BJ139" s="53"/>
      <c r="BK139" s="53"/>
      <c r="BL139" s="53"/>
      <c r="BM139" s="518"/>
      <c r="BN139" s="53"/>
      <c r="BO139" s="53"/>
      <c r="BP139" s="53"/>
      <c r="BQ139" s="53"/>
      <c r="BR139" s="518"/>
      <c r="BS139" s="53"/>
      <c r="BT139" s="53"/>
      <c r="BU139" s="53"/>
      <c r="BV139" s="53"/>
      <c r="BW139" s="465"/>
    </row>
    <row r="140" spans="1:75" x14ac:dyDescent="0.2">
      <c r="A140" s="377"/>
      <c r="B140" s="377"/>
      <c r="C140" s="377"/>
      <c r="D140" s="465" t="s">
        <v>514</v>
      </c>
      <c r="E140" s="417"/>
      <c r="F140" s="377"/>
      <c r="G140" s="53">
        <f>SUM(G141:G142)</f>
        <v>8945000</v>
      </c>
      <c r="H140" s="53"/>
      <c r="I140" s="53"/>
      <c r="J140" s="518"/>
      <c r="K140" s="53"/>
      <c r="L140" s="53">
        <f>SUM(L141:L142)</f>
        <v>0</v>
      </c>
      <c r="M140" s="53"/>
      <c r="N140" s="53"/>
      <c r="O140" s="518"/>
      <c r="P140" s="53"/>
      <c r="Q140" s="53">
        <f>SUM(Q141:Q142)</f>
        <v>0</v>
      </c>
      <c r="R140" s="53"/>
      <c r="S140" s="53"/>
      <c r="T140" s="518"/>
      <c r="U140" s="53"/>
      <c r="V140" s="53">
        <f>SUM(V141:V142)</f>
        <v>8699700</v>
      </c>
      <c r="W140" s="53"/>
      <c r="X140" s="53"/>
      <c r="Y140" s="518"/>
      <c r="Z140" s="53"/>
      <c r="AA140" s="53">
        <f>SUM(AA141:AA142)</f>
        <v>0</v>
      </c>
      <c r="AB140" s="53"/>
      <c r="AC140" s="53"/>
      <c r="AD140" s="518"/>
      <c r="AE140" s="53"/>
      <c r="AF140" s="53">
        <f>SUM(AF141:AF142)</f>
        <v>0</v>
      </c>
      <c r="AG140" s="53"/>
      <c r="AH140" s="53"/>
      <c r="AI140" s="518"/>
      <c r="AJ140" s="53"/>
      <c r="AK140" s="53">
        <f>SUM(AK141:AK142)</f>
        <v>0</v>
      </c>
      <c r="AL140" s="53"/>
      <c r="AM140" s="53"/>
      <c r="AN140" s="518"/>
      <c r="AO140" s="53"/>
      <c r="AP140" s="53">
        <f>SUM(AP141:AP142)</f>
        <v>0</v>
      </c>
      <c r="AQ140" s="53"/>
      <c r="AR140" s="53"/>
      <c r="AS140" s="518"/>
      <c r="AT140" s="53"/>
      <c r="AU140" s="53">
        <f>SUM(AU141:AU142)</f>
        <v>0</v>
      </c>
      <c r="AV140" s="53"/>
      <c r="AW140" s="53"/>
      <c r="AX140" s="518"/>
      <c r="AY140" s="53"/>
      <c r="AZ140" s="53">
        <f>SUM(AZ141:AZ142)</f>
        <v>0</v>
      </c>
      <c r="BA140" s="53"/>
      <c r="BB140" s="53"/>
      <c r="BC140" s="518"/>
      <c r="BD140" s="53"/>
      <c r="BE140" s="53">
        <f>SUM(BE141:BE142)</f>
        <v>0</v>
      </c>
      <c r="BF140" s="53"/>
      <c r="BG140" s="53"/>
      <c r="BH140" s="518"/>
      <c r="BI140" s="53"/>
      <c r="BJ140" s="53">
        <f>SUM(BJ141:BJ142)</f>
        <v>0</v>
      </c>
      <c r="BK140" s="53"/>
      <c r="BL140" s="53"/>
      <c r="BM140" s="518"/>
      <c r="BN140" s="53"/>
      <c r="BO140" s="53">
        <f>SUM(BO141:BO142)</f>
        <v>0</v>
      </c>
      <c r="BP140" s="53"/>
      <c r="BQ140" s="53"/>
      <c r="BR140" s="518"/>
      <c r="BS140" s="53"/>
      <c r="BT140" s="53">
        <f>SUM(BT141:BT142)</f>
        <v>8699700</v>
      </c>
      <c r="BU140" s="53"/>
      <c r="BV140" s="53"/>
      <c r="BW140" s="465"/>
    </row>
    <row r="141" spans="1:75" x14ac:dyDescent="0.2">
      <c r="A141" s="377"/>
      <c r="B141" s="377"/>
      <c r="C141" s="377"/>
      <c r="D141" s="465" t="s">
        <v>505</v>
      </c>
      <c r="E141" s="417"/>
      <c r="F141" s="469"/>
      <c r="G141" s="520">
        <v>5604000</v>
      </c>
      <c r="H141" s="521"/>
      <c r="I141" s="53"/>
      <c r="J141" s="518"/>
      <c r="K141" s="469"/>
      <c r="L141" s="520">
        <v>0</v>
      </c>
      <c r="M141" s="521"/>
      <c r="N141" s="53"/>
      <c r="O141" s="518"/>
      <c r="P141" s="469"/>
      <c r="Q141" s="520">
        <v>0</v>
      </c>
      <c r="R141" s="521"/>
      <c r="S141" s="53"/>
      <c r="T141" s="518"/>
      <c r="U141" s="469"/>
      <c r="V141" s="520">
        <v>5604275</v>
      </c>
      <c r="W141" s="521"/>
      <c r="X141" s="53"/>
      <c r="Y141" s="518"/>
      <c r="Z141" s="469"/>
      <c r="AA141" s="520">
        <v>0</v>
      </c>
      <c r="AB141" s="521"/>
      <c r="AC141" s="53"/>
      <c r="AD141" s="518"/>
      <c r="AE141" s="469"/>
      <c r="AF141" s="520">
        <v>0</v>
      </c>
      <c r="AG141" s="521"/>
      <c r="AH141" s="53"/>
      <c r="AI141" s="518"/>
      <c r="AJ141" s="469"/>
      <c r="AK141" s="520">
        <v>0</v>
      </c>
      <c r="AL141" s="521"/>
      <c r="AM141" s="53"/>
      <c r="AN141" s="518"/>
      <c r="AO141" s="469"/>
      <c r="AP141" s="520">
        <v>0</v>
      </c>
      <c r="AQ141" s="521"/>
      <c r="AR141" s="53"/>
      <c r="AS141" s="518"/>
      <c r="AT141" s="469"/>
      <c r="AU141" s="520">
        <v>0</v>
      </c>
      <c r="AV141" s="521"/>
      <c r="AW141" s="53"/>
      <c r="AX141" s="518"/>
      <c r="AY141" s="469"/>
      <c r="AZ141" s="520">
        <v>0</v>
      </c>
      <c r="BA141" s="521"/>
      <c r="BB141" s="53"/>
      <c r="BC141" s="518"/>
      <c r="BD141" s="469"/>
      <c r="BE141" s="520">
        <v>0</v>
      </c>
      <c r="BF141" s="521"/>
      <c r="BG141" s="53"/>
      <c r="BH141" s="518"/>
      <c r="BI141" s="469"/>
      <c r="BJ141" s="520">
        <v>0</v>
      </c>
      <c r="BK141" s="521"/>
      <c r="BL141" s="53"/>
      <c r="BM141" s="518"/>
      <c r="BN141" s="469"/>
      <c r="BO141" s="520">
        <v>0</v>
      </c>
      <c r="BP141" s="521"/>
      <c r="BQ141" s="53"/>
      <c r="BR141" s="518"/>
      <c r="BS141" s="469"/>
      <c r="BT141" s="520">
        <f>SUM(L141:BO141)</f>
        <v>5604275</v>
      </c>
      <c r="BU141" s="521"/>
      <c r="BV141" s="53"/>
      <c r="BW141" s="465"/>
    </row>
    <row r="142" spans="1:75" x14ac:dyDescent="0.2">
      <c r="A142" s="377"/>
      <c r="B142" s="377"/>
      <c r="C142" s="377"/>
      <c r="D142" s="465" t="s">
        <v>506</v>
      </c>
      <c r="E142" s="417"/>
      <c r="F142" s="478"/>
      <c r="G142" s="102">
        <v>3341000</v>
      </c>
      <c r="H142" s="101"/>
      <c r="I142" s="53"/>
      <c r="J142" s="518"/>
      <c r="K142" s="478"/>
      <c r="L142" s="102">
        <v>0</v>
      </c>
      <c r="M142" s="101"/>
      <c r="N142" s="53"/>
      <c r="O142" s="518"/>
      <c r="P142" s="478"/>
      <c r="Q142" s="102">
        <v>0</v>
      </c>
      <c r="R142" s="101"/>
      <c r="S142" s="53"/>
      <c r="T142" s="518"/>
      <c r="U142" s="478"/>
      <c r="V142" s="102">
        <v>3095425</v>
      </c>
      <c r="W142" s="101"/>
      <c r="X142" s="53"/>
      <c r="Y142" s="518"/>
      <c r="Z142" s="478"/>
      <c r="AA142" s="102">
        <v>0</v>
      </c>
      <c r="AB142" s="101"/>
      <c r="AC142" s="53"/>
      <c r="AD142" s="518"/>
      <c r="AE142" s="478"/>
      <c r="AF142" s="102">
        <v>0</v>
      </c>
      <c r="AG142" s="101"/>
      <c r="AH142" s="53"/>
      <c r="AI142" s="518"/>
      <c r="AJ142" s="478"/>
      <c r="AK142" s="102">
        <v>0</v>
      </c>
      <c r="AL142" s="101"/>
      <c r="AM142" s="53"/>
      <c r="AN142" s="518"/>
      <c r="AO142" s="478"/>
      <c r="AP142" s="102">
        <v>0</v>
      </c>
      <c r="AQ142" s="101"/>
      <c r="AR142" s="53"/>
      <c r="AS142" s="518"/>
      <c r="AT142" s="478"/>
      <c r="AU142" s="102">
        <v>0</v>
      </c>
      <c r="AV142" s="101"/>
      <c r="AW142" s="53"/>
      <c r="AX142" s="518"/>
      <c r="AY142" s="478"/>
      <c r="AZ142" s="102">
        <v>0</v>
      </c>
      <c r="BA142" s="101"/>
      <c r="BB142" s="53"/>
      <c r="BC142" s="518"/>
      <c r="BD142" s="478"/>
      <c r="BE142" s="102">
        <v>0</v>
      </c>
      <c r="BF142" s="101"/>
      <c r="BG142" s="53"/>
      <c r="BH142" s="518"/>
      <c r="BI142" s="478"/>
      <c r="BJ142" s="102">
        <v>0</v>
      </c>
      <c r="BK142" s="101"/>
      <c r="BL142" s="53"/>
      <c r="BM142" s="518"/>
      <c r="BN142" s="478"/>
      <c r="BO142" s="102">
        <v>0</v>
      </c>
      <c r="BP142" s="101"/>
      <c r="BQ142" s="53"/>
      <c r="BR142" s="518"/>
      <c r="BS142" s="478"/>
      <c r="BT142" s="102">
        <f>SUM(L142:BO142)</f>
        <v>3095425</v>
      </c>
      <c r="BU142" s="101"/>
      <c r="BV142" s="53"/>
      <c r="BW142" s="465"/>
    </row>
    <row r="143" spans="1:75" x14ac:dyDescent="0.2">
      <c r="A143" s="377"/>
      <c r="B143" s="377"/>
      <c r="C143" s="377"/>
      <c r="D143" s="465"/>
      <c r="E143" s="417"/>
      <c r="F143" s="377"/>
      <c r="G143" s="53"/>
      <c r="H143" s="53"/>
      <c r="I143" s="53"/>
      <c r="J143" s="518"/>
      <c r="K143" s="377"/>
      <c r="L143" s="53"/>
      <c r="M143" s="53"/>
      <c r="N143" s="53"/>
      <c r="O143" s="518"/>
      <c r="P143" s="377"/>
      <c r="Q143" s="53"/>
      <c r="R143" s="53"/>
      <c r="S143" s="53"/>
      <c r="T143" s="518"/>
      <c r="U143" s="377"/>
      <c r="V143" s="53"/>
      <c r="W143" s="53"/>
      <c r="X143" s="53"/>
      <c r="Y143" s="518"/>
      <c r="Z143" s="377"/>
      <c r="AA143" s="53"/>
      <c r="AB143" s="53"/>
      <c r="AC143" s="53"/>
      <c r="AD143" s="518"/>
      <c r="AE143" s="377"/>
      <c r="AF143" s="53"/>
      <c r="AG143" s="53"/>
      <c r="AH143" s="53"/>
      <c r="AI143" s="518"/>
      <c r="AJ143" s="377"/>
      <c r="AK143" s="53"/>
      <c r="AL143" s="53"/>
      <c r="AM143" s="53"/>
      <c r="AN143" s="518"/>
      <c r="AO143" s="377"/>
      <c r="AP143" s="53"/>
      <c r="AQ143" s="53"/>
      <c r="AR143" s="53"/>
      <c r="AS143" s="518"/>
      <c r="AT143" s="377"/>
      <c r="AU143" s="53"/>
      <c r="AV143" s="53"/>
      <c r="AW143" s="53"/>
      <c r="AX143" s="518"/>
      <c r="AY143" s="377"/>
      <c r="AZ143" s="53"/>
      <c r="BA143" s="53"/>
      <c r="BB143" s="53"/>
      <c r="BC143" s="518"/>
      <c r="BD143" s="377"/>
      <c r="BE143" s="53"/>
      <c r="BF143" s="53"/>
      <c r="BG143" s="53"/>
      <c r="BH143" s="518"/>
      <c r="BI143" s="377"/>
      <c r="BJ143" s="53"/>
      <c r="BK143" s="53"/>
      <c r="BL143" s="53"/>
      <c r="BM143" s="518"/>
      <c r="BN143" s="377"/>
      <c r="BO143" s="53"/>
      <c r="BP143" s="53"/>
      <c r="BQ143" s="53"/>
      <c r="BR143" s="518"/>
      <c r="BS143" s="377"/>
      <c r="BT143" s="53"/>
      <c r="BU143" s="53"/>
      <c r="BV143" s="53"/>
      <c r="BW143" s="465"/>
    </row>
    <row r="144" spans="1:75" x14ac:dyDescent="0.2">
      <c r="A144" s="377"/>
      <c r="B144" s="377"/>
      <c r="C144" s="377"/>
      <c r="D144" s="465" t="s">
        <v>515</v>
      </c>
      <c r="E144" s="417"/>
      <c r="F144" s="377"/>
      <c r="G144" s="53">
        <f>SUM(G145:G146)</f>
        <v>7000</v>
      </c>
      <c r="H144" s="53"/>
      <c r="I144" s="53"/>
      <c r="J144" s="518"/>
      <c r="K144" s="53"/>
      <c r="L144" s="53">
        <f>SUM(L145:L146)</f>
        <v>0</v>
      </c>
      <c r="M144" s="53"/>
      <c r="N144" s="53"/>
      <c r="O144" s="518"/>
      <c r="P144" s="53"/>
      <c r="Q144" s="53">
        <f>SUM(Q145:Q146)</f>
        <v>8086</v>
      </c>
      <c r="R144" s="53"/>
      <c r="S144" s="53"/>
      <c r="T144" s="518"/>
      <c r="U144" s="53"/>
      <c r="V144" s="53">
        <f>SUM(V145:V146)</f>
        <v>0</v>
      </c>
      <c r="W144" s="53"/>
      <c r="X144" s="53"/>
      <c r="Y144" s="518"/>
      <c r="Z144" s="53"/>
      <c r="AA144" s="53">
        <f>SUM(AA145:AA146)</f>
        <v>0</v>
      </c>
      <c r="AB144" s="53"/>
      <c r="AC144" s="53"/>
      <c r="AD144" s="518"/>
      <c r="AE144" s="53"/>
      <c r="AF144" s="53">
        <f>SUM(AF145:AF146)</f>
        <v>0</v>
      </c>
      <c r="AG144" s="53"/>
      <c r="AH144" s="53"/>
      <c r="AI144" s="518"/>
      <c r="AJ144" s="53"/>
      <c r="AK144" s="53">
        <f>SUM(AK145:AK146)</f>
        <v>0</v>
      </c>
      <c r="AL144" s="53"/>
      <c r="AM144" s="53"/>
      <c r="AN144" s="518"/>
      <c r="AO144" s="53"/>
      <c r="AP144" s="53">
        <f>SUM(AP145:AP146)</f>
        <v>0</v>
      </c>
      <c r="AQ144" s="53"/>
      <c r="AR144" s="53"/>
      <c r="AS144" s="518"/>
      <c r="AT144" s="53"/>
      <c r="AU144" s="53">
        <f>SUM(AU145:AU146)</f>
        <v>0</v>
      </c>
      <c r="AV144" s="53"/>
      <c r="AW144" s="53"/>
      <c r="AX144" s="518"/>
      <c r="AY144" s="53"/>
      <c r="AZ144" s="53">
        <f>SUM(AZ145:AZ146)</f>
        <v>0</v>
      </c>
      <c r="BA144" s="53"/>
      <c r="BB144" s="53"/>
      <c r="BC144" s="518"/>
      <c r="BD144" s="53"/>
      <c r="BE144" s="53">
        <f>SUM(BE145:BE146)</f>
        <v>0</v>
      </c>
      <c r="BF144" s="53"/>
      <c r="BG144" s="53"/>
      <c r="BH144" s="518"/>
      <c r="BI144" s="53"/>
      <c r="BJ144" s="53">
        <f>SUM(BJ145:BJ146)</f>
        <v>0</v>
      </c>
      <c r="BK144" s="53"/>
      <c r="BL144" s="53"/>
      <c r="BM144" s="518"/>
      <c r="BN144" s="53"/>
      <c r="BO144" s="53">
        <f>SUM(BO145:BO146)</f>
        <v>0</v>
      </c>
      <c r="BP144" s="53"/>
      <c r="BQ144" s="53"/>
      <c r="BR144" s="518"/>
      <c r="BS144" s="53"/>
      <c r="BT144" s="53">
        <f>SUM(BT145:BT146)</f>
        <v>8086</v>
      </c>
      <c r="BU144" s="53"/>
      <c r="BV144" s="53"/>
      <c r="BW144" s="465"/>
    </row>
    <row r="145" spans="1:78" x14ac:dyDescent="0.2">
      <c r="A145" s="377"/>
      <c r="B145" s="377"/>
      <c r="C145" s="377"/>
      <c r="D145" s="465" t="s">
        <v>505</v>
      </c>
      <c r="E145" s="417"/>
      <c r="F145" s="469"/>
      <c r="G145" s="520">
        <v>2000</v>
      </c>
      <c r="H145" s="521"/>
      <c r="I145" s="53"/>
      <c r="J145" s="518"/>
      <c r="K145" s="469"/>
      <c r="L145" s="520">
        <v>0</v>
      </c>
      <c r="M145" s="521"/>
      <c r="N145" s="53"/>
      <c r="O145" s="518"/>
      <c r="P145" s="469"/>
      <c r="Q145" s="520">
        <v>1939</v>
      </c>
      <c r="R145" s="521"/>
      <c r="S145" s="53"/>
      <c r="T145" s="518"/>
      <c r="U145" s="469"/>
      <c r="V145" s="520">
        <v>0</v>
      </c>
      <c r="W145" s="521"/>
      <c r="X145" s="53"/>
      <c r="Y145" s="518"/>
      <c r="Z145" s="469"/>
      <c r="AA145" s="520">
        <v>0</v>
      </c>
      <c r="AB145" s="521"/>
      <c r="AC145" s="53"/>
      <c r="AD145" s="518"/>
      <c r="AE145" s="469"/>
      <c r="AF145" s="520">
        <v>0</v>
      </c>
      <c r="AG145" s="521"/>
      <c r="AH145" s="53"/>
      <c r="AI145" s="518"/>
      <c r="AJ145" s="469"/>
      <c r="AK145" s="520">
        <v>0</v>
      </c>
      <c r="AL145" s="521"/>
      <c r="AM145" s="53"/>
      <c r="AN145" s="518"/>
      <c r="AO145" s="469"/>
      <c r="AP145" s="520">
        <v>0</v>
      </c>
      <c r="AQ145" s="521"/>
      <c r="AR145" s="53"/>
      <c r="AS145" s="518"/>
      <c r="AT145" s="469"/>
      <c r="AU145" s="520">
        <v>0</v>
      </c>
      <c r="AV145" s="521"/>
      <c r="AW145" s="53"/>
      <c r="AX145" s="518"/>
      <c r="AY145" s="469"/>
      <c r="AZ145" s="520">
        <v>0</v>
      </c>
      <c r="BA145" s="521"/>
      <c r="BB145" s="53"/>
      <c r="BC145" s="518"/>
      <c r="BD145" s="469"/>
      <c r="BE145" s="520">
        <v>0</v>
      </c>
      <c r="BF145" s="521"/>
      <c r="BG145" s="53"/>
      <c r="BH145" s="518"/>
      <c r="BI145" s="469"/>
      <c r="BJ145" s="520">
        <v>0</v>
      </c>
      <c r="BK145" s="521"/>
      <c r="BL145" s="53"/>
      <c r="BM145" s="518"/>
      <c r="BN145" s="469"/>
      <c r="BO145" s="520">
        <v>0</v>
      </c>
      <c r="BP145" s="521"/>
      <c r="BQ145" s="53"/>
      <c r="BR145" s="518"/>
      <c r="BS145" s="469"/>
      <c r="BT145" s="520">
        <f>SUM(L145:BO145)</f>
        <v>1939</v>
      </c>
      <c r="BU145" s="521"/>
      <c r="BV145" s="53"/>
      <c r="BW145" s="465"/>
    </row>
    <row r="146" spans="1:78" x14ac:dyDescent="0.2">
      <c r="A146" s="377"/>
      <c r="B146" s="377"/>
      <c r="C146" s="377"/>
      <c r="D146" s="465" t="s">
        <v>506</v>
      </c>
      <c r="E146" s="417"/>
      <c r="F146" s="478"/>
      <c r="G146" s="102">
        <v>5000</v>
      </c>
      <c r="H146" s="101"/>
      <c r="I146" s="53"/>
      <c r="J146" s="518"/>
      <c r="K146" s="478"/>
      <c r="L146" s="102">
        <v>0</v>
      </c>
      <c r="M146" s="101"/>
      <c r="N146" s="53"/>
      <c r="O146" s="518"/>
      <c r="P146" s="478"/>
      <c r="Q146" s="102">
        <v>6147</v>
      </c>
      <c r="R146" s="101"/>
      <c r="S146" s="53"/>
      <c r="T146" s="518"/>
      <c r="U146" s="478"/>
      <c r="V146" s="102">
        <v>0</v>
      </c>
      <c r="W146" s="101"/>
      <c r="X146" s="53"/>
      <c r="Y146" s="518"/>
      <c r="Z146" s="478"/>
      <c r="AA146" s="102">
        <v>0</v>
      </c>
      <c r="AB146" s="101"/>
      <c r="AC146" s="53"/>
      <c r="AD146" s="518"/>
      <c r="AE146" s="478"/>
      <c r="AF146" s="102">
        <v>0</v>
      </c>
      <c r="AG146" s="101"/>
      <c r="AH146" s="53"/>
      <c r="AI146" s="518"/>
      <c r="AJ146" s="478"/>
      <c r="AK146" s="102">
        <v>0</v>
      </c>
      <c r="AL146" s="101"/>
      <c r="AM146" s="53"/>
      <c r="AN146" s="518"/>
      <c r="AO146" s="478"/>
      <c r="AP146" s="102">
        <v>0</v>
      </c>
      <c r="AQ146" s="101"/>
      <c r="AR146" s="53"/>
      <c r="AS146" s="518"/>
      <c r="AT146" s="478"/>
      <c r="AU146" s="102">
        <v>0</v>
      </c>
      <c r="AV146" s="101"/>
      <c r="AW146" s="53"/>
      <c r="AX146" s="518"/>
      <c r="AY146" s="478"/>
      <c r="AZ146" s="102">
        <v>0</v>
      </c>
      <c r="BA146" s="101"/>
      <c r="BB146" s="53"/>
      <c r="BC146" s="518"/>
      <c r="BD146" s="478"/>
      <c r="BE146" s="102">
        <v>0</v>
      </c>
      <c r="BF146" s="101"/>
      <c r="BG146" s="53"/>
      <c r="BH146" s="518"/>
      <c r="BI146" s="478"/>
      <c r="BJ146" s="102">
        <v>0</v>
      </c>
      <c r="BK146" s="101"/>
      <c r="BL146" s="53"/>
      <c r="BM146" s="518"/>
      <c r="BN146" s="478"/>
      <c r="BO146" s="102">
        <v>0</v>
      </c>
      <c r="BP146" s="101"/>
      <c r="BQ146" s="53"/>
      <c r="BR146" s="518"/>
      <c r="BS146" s="478"/>
      <c r="BT146" s="102">
        <f>SUM(L146:BO146)</f>
        <v>6147</v>
      </c>
      <c r="BU146" s="101"/>
      <c r="BV146" s="53"/>
      <c r="BW146" s="465"/>
    </row>
    <row r="147" spans="1:78" ht="12.75" hidden="1" customHeight="1" x14ac:dyDescent="0.2">
      <c r="A147" s="377"/>
      <c r="B147" s="377"/>
      <c r="C147" s="377"/>
      <c r="D147" s="465"/>
      <c r="E147" s="417"/>
      <c r="F147" s="377"/>
      <c r="G147" s="53"/>
      <c r="H147" s="53"/>
      <c r="I147" s="53"/>
      <c r="J147" s="518"/>
      <c r="K147" s="53"/>
      <c r="L147" s="53"/>
      <c r="M147" s="53"/>
      <c r="N147" s="53"/>
      <c r="O147" s="518"/>
      <c r="P147" s="53"/>
      <c r="Q147" s="53"/>
      <c r="R147" s="53"/>
      <c r="S147" s="53"/>
      <c r="T147" s="518"/>
      <c r="U147" s="53"/>
      <c r="V147" s="53"/>
      <c r="W147" s="53"/>
      <c r="X147" s="53"/>
      <c r="Y147" s="518"/>
      <c r="Z147" s="53"/>
      <c r="AA147" s="53"/>
      <c r="AB147" s="53"/>
      <c r="AC147" s="53"/>
      <c r="AD147" s="518"/>
      <c r="AE147" s="53"/>
      <c r="AF147" s="53"/>
      <c r="AG147" s="53"/>
      <c r="AH147" s="53"/>
      <c r="AI147" s="518"/>
      <c r="AJ147" s="53"/>
      <c r="AK147" s="53"/>
      <c r="AL147" s="53"/>
      <c r="AM147" s="53"/>
      <c r="AN147" s="518"/>
      <c r="AO147" s="53"/>
      <c r="AP147" s="53"/>
      <c r="AQ147" s="53"/>
      <c r="AR147" s="53"/>
      <c r="AS147" s="518"/>
      <c r="AT147" s="53"/>
      <c r="AU147" s="53"/>
      <c r="AV147" s="53"/>
      <c r="AW147" s="53"/>
      <c r="AX147" s="518"/>
      <c r="AY147" s="53"/>
      <c r="AZ147" s="53"/>
      <c r="BA147" s="53"/>
      <c r="BB147" s="53"/>
      <c r="BC147" s="518"/>
      <c r="BD147" s="53"/>
      <c r="BE147" s="53"/>
      <c r="BF147" s="53"/>
      <c r="BG147" s="53"/>
      <c r="BH147" s="518"/>
      <c r="BI147" s="53"/>
      <c r="BJ147" s="53"/>
      <c r="BK147" s="53"/>
      <c r="BL147" s="53"/>
      <c r="BM147" s="518"/>
      <c r="BN147" s="53"/>
      <c r="BO147" s="53"/>
      <c r="BP147" s="53"/>
      <c r="BQ147" s="53"/>
      <c r="BR147" s="518"/>
      <c r="BS147" s="53"/>
      <c r="BT147" s="53"/>
      <c r="BU147" s="53"/>
      <c r="BV147" s="53"/>
      <c r="BW147" s="465"/>
    </row>
    <row r="148" spans="1:78" ht="12.75" hidden="1" customHeight="1" x14ac:dyDescent="0.2">
      <c r="A148" s="377"/>
      <c r="B148" s="377"/>
      <c r="C148" s="377"/>
      <c r="D148" s="465" t="s">
        <v>516</v>
      </c>
      <c r="E148" s="417"/>
      <c r="F148" s="377"/>
      <c r="G148" s="53">
        <f>SUM(G149:G150)</f>
        <v>0</v>
      </c>
      <c r="H148" s="53"/>
      <c r="I148" s="53"/>
      <c r="J148" s="518"/>
      <c r="K148" s="53"/>
      <c r="L148" s="53">
        <f>SUM(L149:L150)</f>
        <v>0</v>
      </c>
      <c r="M148" s="53"/>
      <c r="N148" s="53"/>
      <c r="O148" s="518"/>
      <c r="P148" s="53"/>
      <c r="Q148" s="53">
        <f>SUM(Q149:Q150)</f>
        <v>0</v>
      </c>
      <c r="R148" s="53"/>
      <c r="S148" s="53"/>
      <c r="T148" s="518"/>
      <c r="U148" s="53"/>
      <c r="V148" s="53">
        <f>SUM(V149:V150)</f>
        <v>0</v>
      </c>
      <c r="W148" s="53"/>
      <c r="X148" s="53"/>
      <c r="Y148" s="518"/>
      <c r="Z148" s="53"/>
      <c r="AA148" s="53">
        <f>SUM(AA149:AA150)</f>
        <v>0</v>
      </c>
      <c r="AB148" s="53"/>
      <c r="AC148" s="53"/>
      <c r="AD148" s="518"/>
      <c r="AE148" s="53"/>
      <c r="AF148" s="53">
        <f>SUM(AF149:AF150)</f>
        <v>0</v>
      </c>
      <c r="AG148" s="53"/>
      <c r="AH148" s="53"/>
      <c r="AI148" s="518"/>
      <c r="AJ148" s="53"/>
      <c r="AK148" s="53">
        <f>SUM(AK149:AK150)</f>
        <v>0</v>
      </c>
      <c r="AL148" s="53"/>
      <c r="AM148" s="53"/>
      <c r="AN148" s="518"/>
      <c r="AO148" s="53"/>
      <c r="AP148" s="53">
        <f>SUM(AP149:AP150)</f>
        <v>0</v>
      </c>
      <c r="AQ148" s="53"/>
      <c r="AR148" s="53"/>
      <c r="AS148" s="518"/>
      <c r="AT148" s="53"/>
      <c r="AU148" s="53">
        <f>SUM(AU149:AU150)</f>
        <v>0</v>
      </c>
      <c r="AV148" s="53"/>
      <c r="AW148" s="53"/>
      <c r="AX148" s="518"/>
      <c r="AY148" s="53"/>
      <c r="AZ148" s="53">
        <f>SUM(AZ149:AZ150)</f>
        <v>0</v>
      </c>
      <c r="BA148" s="53"/>
      <c r="BB148" s="53"/>
      <c r="BC148" s="518"/>
      <c r="BD148" s="53"/>
      <c r="BE148" s="53">
        <f>SUM(BE149:BE150)</f>
        <v>0</v>
      </c>
      <c r="BF148" s="53"/>
      <c r="BG148" s="53"/>
      <c r="BH148" s="518"/>
      <c r="BI148" s="53"/>
      <c r="BJ148" s="53">
        <f>SUM(BJ149:BJ150)</f>
        <v>0</v>
      </c>
      <c r="BK148" s="53"/>
      <c r="BL148" s="53"/>
      <c r="BM148" s="518"/>
      <c r="BN148" s="53"/>
      <c r="BO148" s="53">
        <f>SUM(BO149:BO150)</f>
        <v>0</v>
      </c>
      <c r="BP148" s="53"/>
      <c r="BQ148" s="53"/>
      <c r="BR148" s="518"/>
      <c r="BS148" s="53"/>
      <c r="BT148" s="53">
        <f>SUM(BT149:BT150)</f>
        <v>0</v>
      </c>
      <c r="BU148" s="53"/>
      <c r="BV148" s="53"/>
      <c r="BW148" s="465"/>
    </row>
    <row r="149" spans="1:78" ht="12.75" hidden="1" customHeight="1" x14ac:dyDescent="0.2">
      <c r="A149" s="377"/>
      <c r="B149" s="377"/>
      <c r="C149" s="377"/>
      <c r="D149" s="465" t="s">
        <v>505</v>
      </c>
      <c r="E149" s="417"/>
      <c r="F149" s="469"/>
      <c r="G149" s="520">
        <v>0</v>
      </c>
      <c r="H149" s="521"/>
      <c r="I149" s="53"/>
      <c r="J149" s="518"/>
      <c r="K149" s="519"/>
      <c r="L149" s="520">
        <v>0</v>
      </c>
      <c r="M149" s="521"/>
      <c r="N149" s="53"/>
      <c r="O149" s="518"/>
      <c r="P149" s="519"/>
      <c r="Q149" s="520">
        <v>0</v>
      </c>
      <c r="R149" s="521"/>
      <c r="S149" s="53"/>
      <c r="T149" s="518"/>
      <c r="U149" s="519"/>
      <c r="V149" s="520">
        <v>0</v>
      </c>
      <c r="W149" s="521"/>
      <c r="X149" s="53"/>
      <c r="Y149" s="518"/>
      <c r="Z149" s="519"/>
      <c r="AA149" s="520">
        <v>0</v>
      </c>
      <c r="AB149" s="521"/>
      <c r="AC149" s="53"/>
      <c r="AD149" s="518"/>
      <c r="AE149" s="519"/>
      <c r="AF149" s="520">
        <v>0</v>
      </c>
      <c r="AG149" s="521"/>
      <c r="AH149" s="53"/>
      <c r="AI149" s="518"/>
      <c r="AJ149" s="519"/>
      <c r="AK149" s="520">
        <v>0</v>
      </c>
      <c r="AL149" s="521"/>
      <c r="AM149" s="53"/>
      <c r="AN149" s="518"/>
      <c r="AO149" s="519"/>
      <c r="AP149" s="520">
        <v>0</v>
      </c>
      <c r="AQ149" s="521"/>
      <c r="AR149" s="53"/>
      <c r="AS149" s="518"/>
      <c r="AT149" s="519"/>
      <c r="AU149" s="520">
        <v>0</v>
      </c>
      <c r="AV149" s="521"/>
      <c r="AW149" s="53"/>
      <c r="AX149" s="518"/>
      <c r="AY149" s="519"/>
      <c r="AZ149" s="520">
        <v>0</v>
      </c>
      <c r="BA149" s="521"/>
      <c r="BB149" s="53"/>
      <c r="BC149" s="518"/>
      <c r="BD149" s="519"/>
      <c r="BE149" s="520">
        <v>0</v>
      </c>
      <c r="BF149" s="521"/>
      <c r="BG149" s="53"/>
      <c r="BH149" s="518"/>
      <c r="BI149" s="519"/>
      <c r="BJ149" s="520">
        <v>0</v>
      </c>
      <c r="BK149" s="521"/>
      <c r="BL149" s="53"/>
      <c r="BM149" s="518"/>
      <c r="BN149" s="519"/>
      <c r="BO149" s="520">
        <v>0</v>
      </c>
      <c r="BP149" s="521"/>
      <c r="BQ149" s="53"/>
      <c r="BR149" s="518"/>
      <c r="BS149" s="519"/>
      <c r="BT149" s="520">
        <f>SUM(L149:BO149)</f>
        <v>0</v>
      </c>
      <c r="BU149" s="521"/>
      <c r="BV149" s="53"/>
      <c r="BW149" s="465"/>
    </row>
    <row r="150" spans="1:78" ht="12.75" hidden="1" customHeight="1" x14ac:dyDescent="0.2">
      <c r="A150" s="377"/>
      <c r="B150" s="377"/>
      <c r="C150" s="377"/>
      <c r="D150" s="465" t="s">
        <v>506</v>
      </c>
      <c r="E150" s="417"/>
      <c r="F150" s="478"/>
      <c r="G150" s="102">
        <v>0</v>
      </c>
      <c r="H150" s="101"/>
      <c r="I150" s="53"/>
      <c r="J150" s="518"/>
      <c r="K150" s="522"/>
      <c r="L150" s="102">
        <v>0</v>
      </c>
      <c r="M150" s="101"/>
      <c r="N150" s="53"/>
      <c r="O150" s="518"/>
      <c r="P150" s="522"/>
      <c r="Q150" s="102">
        <v>0</v>
      </c>
      <c r="R150" s="101"/>
      <c r="S150" s="53"/>
      <c r="T150" s="518"/>
      <c r="U150" s="522"/>
      <c r="V150" s="102">
        <v>0</v>
      </c>
      <c r="W150" s="101"/>
      <c r="X150" s="53"/>
      <c r="Y150" s="518"/>
      <c r="Z150" s="522"/>
      <c r="AA150" s="102">
        <v>0</v>
      </c>
      <c r="AB150" s="101"/>
      <c r="AC150" s="53"/>
      <c r="AD150" s="518"/>
      <c r="AE150" s="522"/>
      <c r="AF150" s="102">
        <v>0</v>
      </c>
      <c r="AG150" s="101"/>
      <c r="AH150" s="53"/>
      <c r="AI150" s="518"/>
      <c r="AJ150" s="522"/>
      <c r="AK150" s="102">
        <v>0</v>
      </c>
      <c r="AL150" s="101"/>
      <c r="AM150" s="53"/>
      <c r="AN150" s="518"/>
      <c r="AO150" s="522"/>
      <c r="AP150" s="102">
        <v>0</v>
      </c>
      <c r="AQ150" s="101"/>
      <c r="AR150" s="53"/>
      <c r="AS150" s="518"/>
      <c r="AT150" s="522"/>
      <c r="AU150" s="102">
        <v>0</v>
      </c>
      <c r="AV150" s="101"/>
      <c r="AW150" s="53"/>
      <c r="AX150" s="518"/>
      <c r="AY150" s="522"/>
      <c r="AZ150" s="102">
        <v>0</v>
      </c>
      <c r="BA150" s="101"/>
      <c r="BB150" s="53"/>
      <c r="BC150" s="518"/>
      <c r="BD150" s="522"/>
      <c r="BE150" s="102">
        <v>0</v>
      </c>
      <c r="BF150" s="101"/>
      <c r="BG150" s="53"/>
      <c r="BH150" s="518"/>
      <c r="BI150" s="522"/>
      <c r="BJ150" s="102">
        <v>0</v>
      </c>
      <c r="BK150" s="101"/>
      <c r="BL150" s="53"/>
      <c r="BM150" s="518"/>
      <c r="BN150" s="522"/>
      <c r="BO150" s="102">
        <v>0</v>
      </c>
      <c r="BP150" s="101"/>
      <c r="BQ150" s="53"/>
      <c r="BR150" s="518"/>
      <c r="BS150" s="522"/>
      <c r="BT150" s="102">
        <f>SUM(L150:BO150)</f>
        <v>0</v>
      </c>
      <c r="BU150" s="101"/>
      <c r="BV150" s="53"/>
      <c r="BW150" s="465"/>
    </row>
    <row r="151" spans="1:78" ht="12.75" hidden="1" customHeight="1" x14ac:dyDescent="0.2">
      <c r="A151" s="377"/>
      <c r="B151" s="377"/>
      <c r="C151" s="377"/>
      <c r="D151" s="465"/>
      <c r="E151" s="417"/>
      <c r="F151" s="377"/>
      <c r="G151" s="53"/>
      <c r="H151" s="53"/>
      <c r="I151" s="53"/>
      <c r="J151" s="518"/>
      <c r="K151" s="53"/>
      <c r="L151" s="53"/>
      <c r="M151" s="53"/>
      <c r="N151" s="53"/>
      <c r="O151" s="518"/>
      <c r="P151" s="53"/>
      <c r="Q151" s="53"/>
      <c r="R151" s="53"/>
      <c r="S151" s="53"/>
      <c r="T151" s="518"/>
      <c r="U151" s="53"/>
      <c r="V151" s="53"/>
      <c r="W151" s="53"/>
      <c r="X151" s="53"/>
      <c r="Y151" s="518"/>
      <c r="Z151" s="53"/>
      <c r="AA151" s="53"/>
      <c r="AB151" s="53"/>
      <c r="AC151" s="53"/>
      <c r="AD151" s="518"/>
      <c r="AE151" s="53"/>
      <c r="AF151" s="53"/>
      <c r="AG151" s="53"/>
      <c r="AH151" s="53"/>
      <c r="AI151" s="518"/>
      <c r="AJ151" s="53"/>
      <c r="AK151" s="53"/>
      <c r="AL151" s="53"/>
      <c r="AM151" s="53"/>
      <c r="AN151" s="518"/>
      <c r="AO151" s="53"/>
      <c r="AP151" s="53"/>
      <c r="AQ151" s="53"/>
      <c r="AR151" s="53"/>
      <c r="AS151" s="518"/>
      <c r="AT151" s="53"/>
      <c r="AU151" s="53"/>
      <c r="AV151" s="53"/>
      <c r="AW151" s="53"/>
      <c r="AX151" s="518"/>
      <c r="AY151" s="53"/>
      <c r="AZ151" s="53"/>
      <c r="BA151" s="53"/>
      <c r="BB151" s="53"/>
      <c r="BC151" s="518"/>
      <c r="BD151" s="53"/>
      <c r="BE151" s="53"/>
      <c r="BF151" s="53"/>
      <c r="BG151" s="53"/>
      <c r="BH151" s="518"/>
      <c r="BI151" s="53"/>
      <c r="BJ151" s="53"/>
      <c r="BK151" s="53"/>
      <c r="BL151" s="53"/>
      <c r="BM151" s="518"/>
      <c r="BN151" s="53"/>
      <c r="BO151" s="53"/>
      <c r="BP151" s="53"/>
      <c r="BQ151" s="53"/>
      <c r="BR151" s="518"/>
      <c r="BS151" s="53"/>
      <c r="BT151" s="53"/>
      <c r="BU151" s="53"/>
      <c r="BV151" s="53"/>
      <c r="BW151" s="465"/>
    </row>
    <row r="152" spans="1:78" ht="12.75" hidden="1" customHeight="1" x14ac:dyDescent="0.2">
      <c r="A152" s="377"/>
      <c r="B152" s="377"/>
      <c r="C152" s="377"/>
      <c r="D152" s="465" t="s">
        <v>517</v>
      </c>
      <c r="E152" s="417"/>
      <c r="F152" s="377"/>
      <c r="G152" s="53">
        <f>SUM(G153:G154)</f>
        <v>0</v>
      </c>
      <c r="H152" s="53"/>
      <c r="I152" s="53"/>
      <c r="J152" s="518"/>
      <c r="K152" s="53"/>
      <c r="L152" s="53">
        <f>SUM(L153:L154)</f>
        <v>0</v>
      </c>
      <c r="M152" s="53"/>
      <c r="N152" s="53"/>
      <c r="O152" s="518"/>
      <c r="P152" s="53"/>
      <c r="Q152" s="53">
        <f>SUM(Q153:Q154)</f>
        <v>0</v>
      </c>
      <c r="R152" s="53"/>
      <c r="S152" s="53"/>
      <c r="T152" s="518"/>
      <c r="U152" s="53"/>
      <c r="V152" s="53">
        <f>SUM(V153:V154)</f>
        <v>0</v>
      </c>
      <c r="W152" s="53"/>
      <c r="X152" s="53"/>
      <c r="Y152" s="518"/>
      <c r="Z152" s="53"/>
      <c r="AA152" s="53">
        <f>SUM(AA153:AA154)</f>
        <v>0</v>
      </c>
      <c r="AB152" s="53"/>
      <c r="AC152" s="53"/>
      <c r="AD152" s="518"/>
      <c r="AE152" s="53"/>
      <c r="AF152" s="53">
        <f>SUM(AF153:AF154)</f>
        <v>0</v>
      </c>
      <c r="AG152" s="53"/>
      <c r="AH152" s="53"/>
      <c r="AI152" s="518"/>
      <c r="AJ152" s="53"/>
      <c r="AK152" s="53">
        <f>SUM(AK153:AK154)</f>
        <v>0</v>
      </c>
      <c r="AL152" s="53"/>
      <c r="AM152" s="53"/>
      <c r="AN152" s="518"/>
      <c r="AO152" s="53"/>
      <c r="AP152" s="53">
        <f>SUM(AP153:AP154)</f>
        <v>0</v>
      </c>
      <c r="AQ152" s="53"/>
      <c r="AR152" s="53"/>
      <c r="AS152" s="518"/>
      <c r="AT152" s="53"/>
      <c r="AU152" s="53">
        <f>SUM(AU153:AU154)</f>
        <v>0</v>
      </c>
      <c r="AV152" s="53"/>
      <c r="AW152" s="53"/>
      <c r="AX152" s="518"/>
      <c r="AY152" s="53"/>
      <c r="AZ152" s="53">
        <f>SUM(AZ153:AZ154)</f>
        <v>0</v>
      </c>
      <c r="BA152" s="53"/>
      <c r="BB152" s="53"/>
      <c r="BC152" s="518"/>
      <c r="BD152" s="53"/>
      <c r="BE152" s="53">
        <f>SUM(BE153:BE154)</f>
        <v>0</v>
      </c>
      <c r="BF152" s="53"/>
      <c r="BG152" s="53"/>
      <c r="BH152" s="518"/>
      <c r="BI152" s="53"/>
      <c r="BJ152" s="53">
        <f>SUM(BJ153:BJ154)</f>
        <v>0</v>
      </c>
      <c r="BK152" s="53"/>
      <c r="BL152" s="53"/>
      <c r="BM152" s="518"/>
      <c r="BN152" s="53"/>
      <c r="BO152" s="53">
        <f>SUM(BO153:BO154)</f>
        <v>0</v>
      </c>
      <c r="BP152" s="53"/>
      <c r="BQ152" s="53"/>
      <c r="BR152" s="518"/>
      <c r="BS152" s="53"/>
      <c r="BT152" s="53">
        <f>SUM(BT153:BT154)</f>
        <v>0</v>
      </c>
      <c r="BU152" s="53"/>
      <c r="BV152" s="53"/>
      <c r="BW152" s="465"/>
    </row>
    <row r="153" spans="1:78" ht="12.75" hidden="1" customHeight="1" x14ac:dyDescent="0.2">
      <c r="A153" s="377"/>
      <c r="B153" s="377"/>
      <c r="C153" s="377"/>
      <c r="D153" s="465" t="s">
        <v>505</v>
      </c>
      <c r="E153" s="417"/>
      <c r="F153" s="469"/>
      <c r="G153" s="520">
        <v>0</v>
      </c>
      <c r="H153" s="521"/>
      <c r="I153" s="53"/>
      <c r="J153" s="518"/>
      <c r="K153" s="519"/>
      <c r="L153" s="520">
        <v>0</v>
      </c>
      <c r="M153" s="521"/>
      <c r="N153" s="53"/>
      <c r="O153" s="518"/>
      <c r="P153" s="519"/>
      <c r="Q153" s="520">
        <v>0</v>
      </c>
      <c r="R153" s="521"/>
      <c r="S153" s="53"/>
      <c r="T153" s="518"/>
      <c r="U153" s="519"/>
      <c r="V153" s="520">
        <v>0</v>
      </c>
      <c r="W153" s="521"/>
      <c r="X153" s="53"/>
      <c r="Y153" s="518"/>
      <c r="Z153" s="519"/>
      <c r="AA153" s="520">
        <v>0</v>
      </c>
      <c r="AB153" s="521"/>
      <c r="AC153" s="53"/>
      <c r="AD153" s="518"/>
      <c r="AE153" s="519"/>
      <c r="AF153" s="520">
        <v>0</v>
      </c>
      <c r="AG153" s="521"/>
      <c r="AH153" s="53"/>
      <c r="AI153" s="518"/>
      <c r="AJ153" s="519"/>
      <c r="AK153" s="520">
        <v>0</v>
      </c>
      <c r="AL153" s="521"/>
      <c r="AM153" s="53"/>
      <c r="AN153" s="518"/>
      <c r="AO153" s="519"/>
      <c r="AP153" s="520">
        <v>0</v>
      </c>
      <c r="AQ153" s="521"/>
      <c r="AR153" s="53"/>
      <c r="AS153" s="518"/>
      <c r="AT153" s="519"/>
      <c r="AU153" s="520">
        <v>0</v>
      </c>
      <c r="AV153" s="521"/>
      <c r="AW153" s="53"/>
      <c r="AX153" s="518"/>
      <c r="AY153" s="519"/>
      <c r="AZ153" s="520">
        <v>0</v>
      </c>
      <c r="BA153" s="521"/>
      <c r="BB153" s="53"/>
      <c r="BC153" s="518"/>
      <c r="BD153" s="519"/>
      <c r="BE153" s="520">
        <v>0</v>
      </c>
      <c r="BF153" s="521"/>
      <c r="BG153" s="53"/>
      <c r="BH153" s="518"/>
      <c r="BI153" s="519"/>
      <c r="BJ153" s="520">
        <v>0</v>
      </c>
      <c r="BK153" s="521"/>
      <c r="BL153" s="53"/>
      <c r="BM153" s="518"/>
      <c r="BN153" s="519"/>
      <c r="BO153" s="520">
        <v>0</v>
      </c>
      <c r="BP153" s="521"/>
      <c r="BQ153" s="53"/>
      <c r="BR153" s="518"/>
      <c r="BS153" s="519"/>
      <c r="BT153" s="520">
        <f>SUM(L153:BO153)</f>
        <v>0</v>
      </c>
      <c r="BU153" s="521"/>
      <c r="BV153" s="53"/>
      <c r="BW153" s="465"/>
    </row>
    <row r="154" spans="1:78" ht="12.75" hidden="1" customHeight="1" x14ac:dyDescent="0.2">
      <c r="A154" s="377"/>
      <c r="B154" s="377"/>
      <c r="C154" s="377"/>
      <c r="D154" s="465" t="s">
        <v>506</v>
      </c>
      <c r="E154" s="417"/>
      <c r="F154" s="478"/>
      <c r="G154" s="102">
        <v>0</v>
      </c>
      <c r="H154" s="101"/>
      <c r="I154" s="53"/>
      <c r="J154" s="518"/>
      <c r="K154" s="522"/>
      <c r="L154" s="102">
        <v>0</v>
      </c>
      <c r="M154" s="101"/>
      <c r="N154" s="53"/>
      <c r="O154" s="518"/>
      <c r="P154" s="522"/>
      <c r="Q154" s="102">
        <v>0</v>
      </c>
      <c r="R154" s="101"/>
      <c r="S154" s="53"/>
      <c r="T154" s="518"/>
      <c r="U154" s="522"/>
      <c r="V154" s="102">
        <v>0</v>
      </c>
      <c r="W154" s="101"/>
      <c r="X154" s="53"/>
      <c r="Y154" s="518"/>
      <c r="Z154" s="522"/>
      <c r="AA154" s="102">
        <v>0</v>
      </c>
      <c r="AB154" s="101"/>
      <c r="AC154" s="53"/>
      <c r="AD154" s="518"/>
      <c r="AE154" s="522"/>
      <c r="AF154" s="102">
        <v>0</v>
      </c>
      <c r="AG154" s="101"/>
      <c r="AH154" s="53"/>
      <c r="AI154" s="518"/>
      <c r="AJ154" s="522"/>
      <c r="AK154" s="102">
        <v>0</v>
      </c>
      <c r="AL154" s="101"/>
      <c r="AM154" s="53"/>
      <c r="AN154" s="518"/>
      <c r="AO154" s="522"/>
      <c r="AP154" s="102">
        <v>0</v>
      </c>
      <c r="AQ154" s="101"/>
      <c r="AR154" s="53"/>
      <c r="AS154" s="518"/>
      <c r="AT154" s="522"/>
      <c r="AU154" s="102">
        <v>0</v>
      </c>
      <c r="AV154" s="101"/>
      <c r="AW154" s="53"/>
      <c r="AX154" s="518"/>
      <c r="AY154" s="522"/>
      <c r="AZ154" s="102">
        <v>0</v>
      </c>
      <c r="BA154" s="101"/>
      <c r="BB154" s="53"/>
      <c r="BC154" s="518"/>
      <c r="BD154" s="522"/>
      <c r="BE154" s="102">
        <v>0</v>
      </c>
      <c r="BF154" s="101"/>
      <c r="BG154" s="53"/>
      <c r="BH154" s="518"/>
      <c r="BI154" s="522"/>
      <c r="BJ154" s="102">
        <v>0</v>
      </c>
      <c r="BK154" s="101"/>
      <c r="BL154" s="53"/>
      <c r="BM154" s="518"/>
      <c r="BN154" s="522"/>
      <c r="BO154" s="102">
        <v>0</v>
      </c>
      <c r="BP154" s="101"/>
      <c r="BQ154" s="53"/>
      <c r="BR154" s="518"/>
      <c r="BS154" s="522"/>
      <c r="BT154" s="102">
        <f>SUM(L154:BO154)</f>
        <v>0</v>
      </c>
      <c r="BU154" s="101"/>
      <c r="BV154" s="53"/>
      <c r="BW154" s="465"/>
    </row>
    <row r="155" spans="1:78" ht="12.75" hidden="1" customHeight="1" x14ac:dyDescent="0.2">
      <c r="A155" s="377"/>
      <c r="B155" s="377"/>
      <c r="C155" s="377"/>
      <c r="D155" s="465"/>
      <c r="E155" s="417"/>
      <c r="F155" s="377"/>
      <c r="G155" s="53"/>
      <c r="H155" s="53"/>
      <c r="I155" s="53"/>
      <c r="J155" s="518"/>
      <c r="K155" s="53"/>
      <c r="L155" s="53"/>
      <c r="M155" s="53"/>
      <c r="N155" s="53"/>
      <c r="O155" s="518"/>
      <c r="P155" s="53"/>
      <c r="Q155" s="53"/>
      <c r="R155" s="53"/>
      <c r="S155" s="53"/>
      <c r="T155" s="518"/>
      <c r="U155" s="53"/>
      <c r="V155" s="53"/>
      <c r="W155" s="53"/>
      <c r="X155" s="53"/>
      <c r="Y155" s="518"/>
      <c r="Z155" s="53"/>
      <c r="AA155" s="53"/>
      <c r="AB155" s="53"/>
      <c r="AC155" s="53"/>
      <c r="AD155" s="518"/>
      <c r="AE155" s="53"/>
      <c r="AF155" s="53"/>
      <c r="AG155" s="53"/>
      <c r="AH155" s="53"/>
      <c r="AI155" s="518"/>
      <c r="AJ155" s="53"/>
      <c r="AK155" s="53"/>
      <c r="AL155" s="53"/>
      <c r="AM155" s="53"/>
      <c r="AN155" s="518"/>
      <c r="AO155" s="53"/>
      <c r="AP155" s="53"/>
      <c r="AQ155" s="53"/>
      <c r="AR155" s="53"/>
      <c r="AS155" s="518"/>
      <c r="AT155" s="53"/>
      <c r="AU155" s="53"/>
      <c r="AV155" s="53"/>
      <c r="AW155" s="53"/>
      <c r="AX155" s="518"/>
      <c r="AY155" s="53"/>
      <c r="AZ155" s="53"/>
      <c r="BA155" s="53"/>
      <c r="BB155" s="53"/>
      <c r="BC155" s="518"/>
      <c r="BD155" s="53"/>
      <c r="BE155" s="53"/>
      <c r="BF155" s="53"/>
      <c r="BG155" s="53"/>
      <c r="BH155" s="518"/>
      <c r="BI155" s="53"/>
      <c r="BJ155" s="53"/>
      <c r="BK155" s="53"/>
      <c r="BL155" s="53"/>
      <c r="BM155" s="518"/>
      <c r="BN155" s="53"/>
      <c r="BO155" s="53"/>
      <c r="BP155" s="53"/>
      <c r="BQ155" s="53"/>
      <c r="BR155" s="518"/>
      <c r="BS155" s="53"/>
      <c r="BT155" s="53"/>
      <c r="BU155" s="53"/>
      <c r="BV155" s="53"/>
      <c r="BW155" s="465"/>
    </row>
    <row r="156" spans="1:78" s="410" customFormat="1" ht="12.75" hidden="1" customHeight="1" x14ac:dyDescent="0.2">
      <c r="A156" s="411"/>
      <c r="B156" s="411"/>
      <c r="C156" s="411"/>
      <c r="D156" s="455" t="s">
        <v>518</v>
      </c>
      <c r="E156" s="485"/>
      <c r="F156" s="411"/>
      <c r="G156" s="42">
        <f>SUM(G157:G158)</f>
        <v>0</v>
      </c>
      <c r="H156" s="42"/>
      <c r="I156" s="42"/>
      <c r="J156" s="523"/>
      <c r="K156" s="42"/>
      <c r="L156" s="42">
        <f>SUM(L157:L158)</f>
        <v>0</v>
      </c>
      <c r="M156" s="42"/>
      <c r="N156" s="42"/>
      <c r="O156" s="523"/>
      <c r="P156" s="42"/>
      <c r="Q156" s="42">
        <f>SUM(Q157:Q158)</f>
        <v>0</v>
      </c>
      <c r="R156" s="42"/>
      <c r="S156" s="42"/>
      <c r="T156" s="523"/>
      <c r="U156" s="42"/>
      <c r="V156" s="42">
        <f>SUM(V157:V158)</f>
        <v>0</v>
      </c>
      <c r="W156" s="42"/>
      <c r="X156" s="42"/>
      <c r="Y156" s="523"/>
      <c r="Z156" s="42"/>
      <c r="AA156" s="42">
        <f>SUM(AA157:AA158)</f>
        <v>0</v>
      </c>
      <c r="AB156" s="42"/>
      <c r="AC156" s="42"/>
      <c r="AD156" s="523"/>
      <c r="AE156" s="42"/>
      <c r="AF156" s="42">
        <f>SUM(AF157:AF158)</f>
        <v>0</v>
      </c>
      <c r="AG156" s="42"/>
      <c r="AH156" s="42"/>
      <c r="AI156" s="523"/>
      <c r="AJ156" s="42"/>
      <c r="AK156" s="42">
        <f>SUM(AK157:AK158)</f>
        <v>0</v>
      </c>
      <c r="AL156" s="42"/>
      <c r="AM156" s="42"/>
      <c r="AN156" s="523"/>
      <c r="AO156" s="42"/>
      <c r="AP156" s="42">
        <f>SUM(AP157:AP158)</f>
        <v>0</v>
      </c>
      <c r="AQ156" s="42"/>
      <c r="AR156" s="42"/>
      <c r="AS156" s="523"/>
      <c r="AT156" s="42"/>
      <c r="AU156" s="42">
        <f>SUM(AU157:AU158)</f>
        <v>0</v>
      </c>
      <c r="AV156" s="42"/>
      <c r="AW156" s="42"/>
      <c r="AX156" s="523"/>
      <c r="AY156" s="42"/>
      <c r="AZ156" s="42">
        <f>SUM(AZ157:AZ158)</f>
        <v>0</v>
      </c>
      <c r="BA156" s="42"/>
      <c r="BB156" s="42"/>
      <c r="BC156" s="523"/>
      <c r="BD156" s="42"/>
      <c r="BE156" s="42">
        <f>SUM(BE157:BE158)</f>
        <v>0</v>
      </c>
      <c r="BF156" s="42"/>
      <c r="BG156" s="42"/>
      <c r="BH156" s="523"/>
      <c r="BI156" s="42"/>
      <c r="BJ156" s="42">
        <f>SUM(BJ157:BJ158)</f>
        <v>0</v>
      </c>
      <c r="BK156" s="42"/>
      <c r="BL156" s="42"/>
      <c r="BM156" s="523"/>
      <c r="BN156" s="42"/>
      <c r="BO156" s="42">
        <f>SUM(BO157:BO158)</f>
        <v>0</v>
      </c>
      <c r="BP156" s="42"/>
      <c r="BQ156" s="42"/>
      <c r="BR156" s="523"/>
      <c r="BS156" s="42"/>
      <c r="BT156" s="42">
        <f>SUM(BT157:BT158)</f>
        <v>0</v>
      </c>
      <c r="BU156" s="42"/>
      <c r="BV156" s="42"/>
      <c r="BW156" s="455"/>
      <c r="BY156" s="38"/>
      <c r="BZ156" s="38"/>
    </row>
    <row r="157" spans="1:78" ht="12.75" hidden="1" customHeight="1" x14ac:dyDescent="0.2">
      <c r="A157" s="377"/>
      <c r="B157" s="377"/>
      <c r="C157" s="377"/>
      <c r="D157" s="465" t="s">
        <v>505</v>
      </c>
      <c r="E157" s="417"/>
      <c r="F157" s="469"/>
      <c r="G157" s="520">
        <v>0</v>
      </c>
      <c r="H157" s="521"/>
      <c r="I157" s="53"/>
      <c r="J157" s="518"/>
      <c r="K157" s="519"/>
      <c r="L157" s="520">
        <f>L161+L165</f>
        <v>0</v>
      </c>
      <c r="M157" s="521"/>
      <c r="N157" s="53"/>
      <c r="O157" s="518"/>
      <c r="P157" s="519"/>
      <c r="Q157" s="520">
        <f>Q161+Q165</f>
        <v>0</v>
      </c>
      <c r="R157" s="521"/>
      <c r="S157" s="53"/>
      <c r="T157" s="518"/>
      <c r="U157" s="519"/>
      <c r="V157" s="520">
        <f>V161+V165</f>
        <v>0</v>
      </c>
      <c r="W157" s="521"/>
      <c r="X157" s="53"/>
      <c r="Y157" s="518"/>
      <c r="Z157" s="519"/>
      <c r="AA157" s="520">
        <f>AA161+AA165</f>
        <v>0</v>
      </c>
      <c r="AB157" s="521"/>
      <c r="AC157" s="53"/>
      <c r="AD157" s="518"/>
      <c r="AE157" s="519"/>
      <c r="AF157" s="520">
        <f>AF161+AF165</f>
        <v>0</v>
      </c>
      <c r="AG157" s="521"/>
      <c r="AH157" s="53"/>
      <c r="AI157" s="518"/>
      <c r="AJ157" s="519"/>
      <c r="AK157" s="520">
        <f>AK161+AK165</f>
        <v>0</v>
      </c>
      <c r="AL157" s="521"/>
      <c r="AM157" s="53"/>
      <c r="AN157" s="518"/>
      <c r="AO157" s="519"/>
      <c r="AP157" s="520">
        <v>0</v>
      </c>
      <c r="AQ157" s="521"/>
      <c r="AR157" s="53"/>
      <c r="AS157" s="518"/>
      <c r="AT157" s="519"/>
      <c r="AU157" s="520">
        <f>AU161+AU165</f>
        <v>0</v>
      </c>
      <c r="AV157" s="521"/>
      <c r="AW157" s="53"/>
      <c r="AX157" s="518"/>
      <c r="AY157" s="519"/>
      <c r="AZ157" s="520">
        <f>AZ161+AZ165</f>
        <v>0</v>
      </c>
      <c r="BA157" s="521"/>
      <c r="BB157" s="53"/>
      <c r="BC157" s="518"/>
      <c r="BD157" s="519"/>
      <c r="BE157" s="520">
        <f>BE161+BE165</f>
        <v>0</v>
      </c>
      <c r="BF157" s="521"/>
      <c r="BG157" s="53"/>
      <c r="BH157" s="518"/>
      <c r="BI157" s="519"/>
      <c r="BJ157" s="520">
        <f>BJ161+BJ165</f>
        <v>0</v>
      </c>
      <c r="BK157" s="521"/>
      <c r="BL157" s="53"/>
      <c r="BM157" s="518"/>
      <c r="BN157" s="519"/>
      <c r="BO157" s="520">
        <f>BO161+BO165</f>
        <v>0</v>
      </c>
      <c r="BP157" s="521"/>
      <c r="BQ157" s="53"/>
      <c r="BR157" s="518"/>
      <c r="BS157" s="519"/>
      <c r="BT157" s="520">
        <f>BT161+BT165</f>
        <v>0</v>
      </c>
      <c r="BU157" s="521"/>
      <c r="BV157" s="53"/>
      <c r="BW157" s="465"/>
    </row>
    <row r="158" spans="1:78" ht="12.75" hidden="1" customHeight="1" x14ac:dyDescent="0.2">
      <c r="A158" s="377"/>
      <c r="B158" s="377"/>
      <c r="C158" s="377"/>
      <c r="D158" s="465" t="s">
        <v>506</v>
      </c>
      <c r="E158" s="417"/>
      <c r="F158" s="478"/>
      <c r="G158" s="102">
        <v>0</v>
      </c>
      <c r="H158" s="101"/>
      <c r="I158" s="53"/>
      <c r="J158" s="518"/>
      <c r="K158" s="522"/>
      <c r="L158" s="102">
        <f>L162+L166</f>
        <v>0</v>
      </c>
      <c r="M158" s="101"/>
      <c r="N158" s="53"/>
      <c r="O158" s="518"/>
      <c r="P158" s="522"/>
      <c r="Q158" s="102">
        <f>Q162+Q166</f>
        <v>0</v>
      </c>
      <c r="R158" s="101"/>
      <c r="S158" s="53"/>
      <c r="T158" s="518"/>
      <c r="U158" s="522"/>
      <c r="V158" s="102">
        <f>V162+V166</f>
        <v>0</v>
      </c>
      <c r="W158" s="101"/>
      <c r="X158" s="53"/>
      <c r="Y158" s="518"/>
      <c r="Z158" s="522"/>
      <c r="AA158" s="102">
        <f>AA162+AA166</f>
        <v>0</v>
      </c>
      <c r="AB158" s="101"/>
      <c r="AC158" s="53"/>
      <c r="AD158" s="518"/>
      <c r="AE158" s="522"/>
      <c r="AF158" s="102">
        <f>AF162+AF166</f>
        <v>0</v>
      </c>
      <c r="AG158" s="101"/>
      <c r="AH158" s="53"/>
      <c r="AI158" s="518"/>
      <c r="AJ158" s="522"/>
      <c r="AK158" s="102">
        <f>AK162+AK166</f>
        <v>0</v>
      </c>
      <c r="AL158" s="101"/>
      <c r="AM158" s="53"/>
      <c r="AN158" s="518"/>
      <c r="AO158" s="522"/>
      <c r="AP158" s="102">
        <v>0</v>
      </c>
      <c r="AQ158" s="101"/>
      <c r="AR158" s="53"/>
      <c r="AS158" s="518"/>
      <c r="AT158" s="522"/>
      <c r="AU158" s="102">
        <f>AU162+AU166</f>
        <v>0</v>
      </c>
      <c r="AV158" s="101"/>
      <c r="AW158" s="53"/>
      <c r="AX158" s="518"/>
      <c r="AY158" s="522"/>
      <c r="AZ158" s="102">
        <f>AZ162+AZ166</f>
        <v>0</v>
      </c>
      <c r="BA158" s="101"/>
      <c r="BB158" s="53"/>
      <c r="BC158" s="518"/>
      <c r="BD158" s="522"/>
      <c r="BE158" s="102">
        <f>BE162+BE166</f>
        <v>0</v>
      </c>
      <c r="BF158" s="101"/>
      <c r="BG158" s="53"/>
      <c r="BH158" s="518"/>
      <c r="BI158" s="522"/>
      <c r="BJ158" s="102">
        <f>BJ162+BJ166</f>
        <v>0</v>
      </c>
      <c r="BK158" s="101"/>
      <c r="BL158" s="53"/>
      <c r="BM158" s="518"/>
      <c r="BN158" s="522"/>
      <c r="BO158" s="102">
        <f>BO162+BO166</f>
        <v>0</v>
      </c>
      <c r="BP158" s="101"/>
      <c r="BQ158" s="53"/>
      <c r="BR158" s="518"/>
      <c r="BS158" s="522"/>
      <c r="BT158" s="102">
        <f>BT162+BT166</f>
        <v>0</v>
      </c>
      <c r="BU158" s="101"/>
      <c r="BV158" s="53"/>
      <c r="BW158" s="465"/>
    </row>
    <row r="159" spans="1:78" ht="12.75" hidden="1" customHeight="1" x14ac:dyDescent="0.2">
      <c r="A159" s="377"/>
      <c r="B159" s="377"/>
      <c r="C159" s="377"/>
      <c r="D159" s="465"/>
      <c r="E159" s="417"/>
      <c r="F159" s="377"/>
      <c r="G159" s="53"/>
      <c r="H159" s="53"/>
      <c r="I159" s="53"/>
      <c r="J159" s="518"/>
      <c r="K159" s="53"/>
      <c r="L159" s="53"/>
      <c r="M159" s="53"/>
      <c r="N159" s="53"/>
      <c r="O159" s="518"/>
      <c r="P159" s="53"/>
      <c r="Q159" s="53"/>
      <c r="R159" s="53"/>
      <c r="S159" s="53"/>
      <c r="T159" s="518"/>
      <c r="U159" s="53"/>
      <c r="V159" s="53"/>
      <c r="W159" s="53"/>
      <c r="X159" s="53"/>
      <c r="Y159" s="518"/>
      <c r="Z159" s="53"/>
      <c r="AA159" s="53"/>
      <c r="AB159" s="53"/>
      <c r="AC159" s="53"/>
      <c r="AD159" s="518"/>
      <c r="AE159" s="53"/>
      <c r="AF159" s="53"/>
      <c r="AG159" s="53"/>
      <c r="AH159" s="53"/>
      <c r="AI159" s="518"/>
      <c r="AJ159" s="53"/>
      <c r="AK159" s="53"/>
      <c r="AL159" s="53"/>
      <c r="AM159" s="53"/>
      <c r="AN159" s="518"/>
      <c r="AO159" s="53"/>
      <c r="AP159" s="53"/>
      <c r="AQ159" s="53"/>
      <c r="AR159" s="53"/>
      <c r="AS159" s="518"/>
      <c r="AT159" s="53"/>
      <c r="AU159" s="53"/>
      <c r="AV159" s="53"/>
      <c r="AW159" s="53"/>
      <c r="AX159" s="518"/>
      <c r="AY159" s="53"/>
      <c r="AZ159" s="53"/>
      <c r="BA159" s="53"/>
      <c r="BB159" s="53"/>
      <c r="BC159" s="518"/>
      <c r="BD159" s="53"/>
      <c r="BE159" s="53"/>
      <c r="BF159" s="53"/>
      <c r="BG159" s="53"/>
      <c r="BH159" s="518"/>
      <c r="BI159" s="53"/>
      <c r="BJ159" s="53"/>
      <c r="BK159" s="53"/>
      <c r="BL159" s="53"/>
      <c r="BM159" s="518"/>
      <c r="BN159" s="53"/>
      <c r="BO159" s="53"/>
      <c r="BP159" s="53"/>
      <c r="BQ159" s="53"/>
      <c r="BR159" s="518"/>
      <c r="BS159" s="53"/>
      <c r="BT159" s="53"/>
      <c r="BU159" s="53"/>
      <c r="BV159" s="53"/>
      <c r="BW159" s="465"/>
    </row>
    <row r="160" spans="1:78" ht="12.75" hidden="1" customHeight="1" x14ac:dyDescent="0.2">
      <c r="A160" s="377"/>
      <c r="B160" s="377"/>
      <c r="C160" s="377"/>
      <c r="D160" s="465" t="s">
        <v>519</v>
      </c>
      <c r="E160" s="417"/>
      <c r="F160" s="377"/>
      <c r="G160" s="53">
        <v>0</v>
      </c>
      <c r="H160" s="53"/>
      <c r="I160" s="53"/>
      <c r="J160" s="518"/>
      <c r="K160" s="53"/>
      <c r="L160" s="53">
        <f>SUM(L161:L162)</f>
        <v>0</v>
      </c>
      <c r="M160" s="53"/>
      <c r="N160" s="53"/>
      <c r="O160" s="518"/>
      <c r="P160" s="53"/>
      <c r="Q160" s="53">
        <f>SUM(Q161:Q162)</f>
        <v>0</v>
      </c>
      <c r="R160" s="53"/>
      <c r="S160" s="53"/>
      <c r="T160" s="518"/>
      <c r="U160" s="53"/>
      <c r="V160" s="53">
        <f>SUM(V161:V162)</f>
        <v>0</v>
      </c>
      <c r="W160" s="53"/>
      <c r="X160" s="53"/>
      <c r="Y160" s="518"/>
      <c r="Z160" s="53"/>
      <c r="AA160" s="53">
        <f>SUM(AA161:AA162)</f>
        <v>0</v>
      </c>
      <c r="AB160" s="53"/>
      <c r="AC160" s="53"/>
      <c r="AD160" s="518"/>
      <c r="AE160" s="53"/>
      <c r="AF160" s="53">
        <f>SUM(AF161:AF162)</f>
        <v>0</v>
      </c>
      <c r="AG160" s="53"/>
      <c r="AH160" s="53"/>
      <c r="AI160" s="518"/>
      <c r="AJ160" s="53"/>
      <c r="AK160" s="53">
        <f>SUM(AK161:AK162)</f>
        <v>0</v>
      </c>
      <c r="AL160" s="53"/>
      <c r="AM160" s="53"/>
      <c r="AN160" s="518"/>
      <c r="AO160" s="53"/>
      <c r="AP160" s="53">
        <f>SUM(AP161:AP162)</f>
        <v>0</v>
      </c>
      <c r="AQ160" s="53"/>
      <c r="AR160" s="53"/>
      <c r="AS160" s="518"/>
      <c r="AT160" s="53"/>
      <c r="AU160" s="53">
        <f>SUM(AU161:AU162)</f>
        <v>0</v>
      </c>
      <c r="AV160" s="53"/>
      <c r="AW160" s="53"/>
      <c r="AX160" s="518"/>
      <c r="AY160" s="53"/>
      <c r="AZ160" s="53">
        <f>SUM(AZ161:AZ162)</f>
        <v>0</v>
      </c>
      <c r="BA160" s="53"/>
      <c r="BB160" s="53"/>
      <c r="BC160" s="518"/>
      <c r="BD160" s="53"/>
      <c r="BE160" s="53">
        <f>SUM(BE161:BE162)</f>
        <v>0</v>
      </c>
      <c r="BF160" s="53"/>
      <c r="BG160" s="53"/>
      <c r="BH160" s="518"/>
      <c r="BI160" s="53"/>
      <c r="BJ160" s="53">
        <f>SUM(BJ161:BJ162)</f>
        <v>0</v>
      </c>
      <c r="BK160" s="53"/>
      <c r="BL160" s="53"/>
      <c r="BM160" s="518"/>
      <c r="BN160" s="53"/>
      <c r="BO160" s="53">
        <f>SUM(BO161:BO162)</f>
        <v>0</v>
      </c>
      <c r="BP160" s="53"/>
      <c r="BQ160" s="53"/>
      <c r="BR160" s="518"/>
      <c r="BS160" s="53"/>
      <c r="BT160" s="53">
        <f>SUM(BT161:BT162)</f>
        <v>0</v>
      </c>
      <c r="BU160" s="53"/>
      <c r="BV160" s="53"/>
      <c r="BW160" s="465"/>
    </row>
    <row r="161" spans="1:78" ht="12.75" hidden="1" customHeight="1" x14ac:dyDescent="0.2">
      <c r="A161" s="377"/>
      <c r="B161" s="377"/>
      <c r="C161" s="377"/>
      <c r="D161" s="465" t="s">
        <v>505</v>
      </c>
      <c r="E161" s="417"/>
      <c r="F161" s="469"/>
      <c r="G161" s="520">
        <v>0</v>
      </c>
      <c r="H161" s="521"/>
      <c r="I161" s="53"/>
      <c r="J161" s="518"/>
      <c r="K161" s="519"/>
      <c r="L161" s="520">
        <v>0</v>
      </c>
      <c r="M161" s="521"/>
      <c r="N161" s="53"/>
      <c r="O161" s="518"/>
      <c r="P161" s="519"/>
      <c r="Q161" s="520">
        <v>0</v>
      </c>
      <c r="R161" s="521"/>
      <c r="S161" s="53"/>
      <c r="T161" s="518"/>
      <c r="U161" s="519"/>
      <c r="V161" s="520">
        <v>0</v>
      </c>
      <c r="W161" s="521"/>
      <c r="X161" s="53"/>
      <c r="Y161" s="518"/>
      <c r="Z161" s="519"/>
      <c r="AA161" s="520">
        <v>0</v>
      </c>
      <c r="AB161" s="521"/>
      <c r="AC161" s="53"/>
      <c r="AD161" s="518"/>
      <c r="AE161" s="519"/>
      <c r="AF161" s="520">
        <v>0</v>
      </c>
      <c r="AG161" s="521"/>
      <c r="AH161" s="53"/>
      <c r="AI161" s="518"/>
      <c r="AJ161" s="519"/>
      <c r="AK161" s="520">
        <v>0</v>
      </c>
      <c r="AL161" s="521"/>
      <c r="AM161" s="53"/>
      <c r="AN161" s="518"/>
      <c r="AO161" s="519"/>
      <c r="AP161" s="520">
        <v>0</v>
      </c>
      <c r="AQ161" s="521"/>
      <c r="AR161" s="53"/>
      <c r="AS161" s="518"/>
      <c r="AT161" s="519"/>
      <c r="AU161" s="520">
        <v>0</v>
      </c>
      <c r="AV161" s="521"/>
      <c r="AW161" s="53"/>
      <c r="AX161" s="518"/>
      <c r="AY161" s="519"/>
      <c r="AZ161" s="520">
        <v>0</v>
      </c>
      <c r="BA161" s="521"/>
      <c r="BB161" s="53"/>
      <c r="BC161" s="518"/>
      <c r="BD161" s="519"/>
      <c r="BE161" s="520">
        <v>0</v>
      </c>
      <c r="BF161" s="521"/>
      <c r="BG161" s="53"/>
      <c r="BH161" s="518"/>
      <c r="BI161" s="519"/>
      <c r="BJ161" s="520">
        <v>0</v>
      </c>
      <c r="BK161" s="521"/>
      <c r="BL161" s="53"/>
      <c r="BM161" s="518"/>
      <c r="BN161" s="519"/>
      <c r="BO161" s="520">
        <v>0</v>
      </c>
      <c r="BP161" s="521"/>
      <c r="BQ161" s="53"/>
      <c r="BR161" s="518"/>
      <c r="BS161" s="519"/>
      <c r="BT161" s="520">
        <f>SUM(L161:BO161)</f>
        <v>0</v>
      </c>
      <c r="BU161" s="521"/>
      <c r="BV161" s="53"/>
      <c r="BW161" s="465"/>
    </row>
    <row r="162" spans="1:78" ht="12.75" hidden="1" customHeight="1" x14ac:dyDescent="0.2">
      <c r="A162" s="377"/>
      <c r="B162" s="377"/>
      <c r="C162" s="377"/>
      <c r="D162" s="465" t="s">
        <v>506</v>
      </c>
      <c r="E162" s="417"/>
      <c r="F162" s="478"/>
      <c r="G162" s="102">
        <v>0</v>
      </c>
      <c r="H162" s="101"/>
      <c r="I162" s="53"/>
      <c r="J162" s="518"/>
      <c r="K162" s="522"/>
      <c r="L162" s="102">
        <v>0</v>
      </c>
      <c r="M162" s="101"/>
      <c r="N162" s="53"/>
      <c r="O162" s="518"/>
      <c r="P162" s="522"/>
      <c r="Q162" s="102">
        <v>0</v>
      </c>
      <c r="R162" s="101"/>
      <c r="S162" s="53"/>
      <c r="T162" s="518"/>
      <c r="U162" s="522"/>
      <c r="V162" s="102">
        <v>0</v>
      </c>
      <c r="W162" s="101"/>
      <c r="X162" s="53"/>
      <c r="Y162" s="518"/>
      <c r="Z162" s="522"/>
      <c r="AA162" s="102">
        <v>0</v>
      </c>
      <c r="AB162" s="101"/>
      <c r="AC162" s="53"/>
      <c r="AD162" s="518"/>
      <c r="AE162" s="522"/>
      <c r="AF162" s="102">
        <v>0</v>
      </c>
      <c r="AG162" s="101"/>
      <c r="AH162" s="53"/>
      <c r="AI162" s="518"/>
      <c r="AJ162" s="522"/>
      <c r="AK162" s="102">
        <v>0</v>
      </c>
      <c r="AL162" s="101"/>
      <c r="AM162" s="53"/>
      <c r="AN162" s="518"/>
      <c r="AO162" s="522"/>
      <c r="AP162" s="102">
        <v>0</v>
      </c>
      <c r="AQ162" s="101"/>
      <c r="AR162" s="53"/>
      <c r="AS162" s="518"/>
      <c r="AT162" s="522"/>
      <c r="AU162" s="102">
        <v>0</v>
      </c>
      <c r="AV162" s="101"/>
      <c r="AW162" s="53"/>
      <c r="AX162" s="518"/>
      <c r="AY162" s="522"/>
      <c r="AZ162" s="102">
        <v>0</v>
      </c>
      <c r="BA162" s="101"/>
      <c r="BB162" s="53"/>
      <c r="BC162" s="518"/>
      <c r="BD162" s="522"/>
      <c r="BE162" s="102">
        <v>0</v>
      </c>
      <c r="BF162" s="101"/>
      <c r="BG162" s="53"/>
      <c r="BH162" s="518"/>
      <c r="BI162" s="522"/>
      <c r="BJ162" s="102">
        <v>0</v>
      </c>
      <c r="BK162" s="101"/>
      <c r="BL162" s="53"/>
      <c r="BM162" s="518"/>
      <c r="BN162" s="522"/>
      <c r="BO162" s="102">
        <v>0</v>
      </c>
      <c r="BP162" s="101"/>
      <c r="BQ162" s="53"/>
      <c r="BR162" s="518"/>
      <c r="BS162" s="522"/>
      <c r="BT162" s="102">
        <f>SUM(L162:BO162)</f>
        <v>0</v>
      </c>
      <c r="BU162" s="101"/>
      <c r="BV162" s="53"/>
      <c r="BW162" s="465"/>
    </row>
    <row r="163" spans="1:78" ht="12.75" hidden="1" customHeight="1" x14ac:dyDescent="0.2">
      <c r="A163" s="377"/>
      <c r="B163" s="377"/>
      <c r="C163" s="377"/>
      <c r="D163" s="465"/>
      <c r="E163" s="417"/>
      <c r="F163" s="377"/>
      <c r="G163" s="53"/>
      <c r="H163" s="53"/>
      <c r="I163" s="53"/>
      <c r="J163" s="518"/>
      <c r="K163" s="53"/>
      <c r="L163" s="53"/>
      <c r="M163" s="53"/>
      <c r="N163" s="53"/>
      <c r="O163" s="518"/>
      <c r="P163" s="53"/>
      <c r="Q163" s="53"/>
      <c r="R163" s="53"/>
      <c r="S163" s="53"/>
      <c r="T163" s="518"/>
      <c r="U163" s="53"/>
      <c r="V163" s="53"/>
      <c r="W163" s="53"/>
      <c r="X163" s="53"/>
      <c r="Y163" s="518"/>
      <c r="Z163" s="53"/>
      <c r="AA163" s="53"/>
      <c r="AB163" s="53"/>
      <c r="AC163" s="53"/>
      <c r="AD163" s="518"/>
      <c r="AE163" s="53"/>
      <c r="AF163" s="53"/>
      <c r="AG163" s="53"/>
      <c r="AH163" s="53"/>
      <c r="AI163" s="518"/>
      <c r="AJ163" s="53"/>
      <c r="AK163" s="53"/>
      <c r="AL163" s="53"/>
      <c r="AM163" s="53"/>
      <c r="AN163" s="518"/>
      <c r="AO163" s="53"/>
      <c r="AP163" s="53"/>
      <c r="AQ163" s="53"/>
      <c r="AR163" s="53"/>
      <c r="AS163" s="518"/>
      <c r="AT163" s="53"/>
      <c r="AU163" s="53"/>
      <c r="AV163" s="53"/>
      <c r="AW163" s="53"/>
      <c r="AX163" s="518"/>
      <c r="AY163" s="53"/>
      <c r="AZ163" s="53"/>
      <c r="BA163" s="53"/>
      <c r="BB163" s="53"/>
      <c r="BC163" s="518"/>
      <c r="BD163" s="53"/>
      <c r="BE163" s="53"/>
      <c r="BF163" s="53"/>
      <c r="BG163" s="53"/>
      <c r="BH163" s="518"/>
      <c r="BI163" s="53"/>
      <c r="BJ163" s="53"/>
      <c r="BK163" s="53"/>
      <c r="BL163" s="53"/>
      <c r="BM163" s="518"/>
      <c r="BN163" s="53"/>
      <c r="BO163" s="53"/>
      <c r="BP163" s="53"/>
      <c r="BQ163" s="53"/>
      <c r="BR163" s="518"/>
      <c r="BS163" s="53"/>
      <c r="BT163" s="53"/>
      <c r="BU163" s="53"/>
      <c r="BV163" s="53"/>
      <c r="BW163" s="465"/>
    </row>
    <row r="164" spans="1:78" ht="12.75" hidden="1" customHeight="1" x14ac:dyDescent="0.2">
      <c r="A164" s="377"/>
      <c r="B164" s="377"/>
      <c r="C164" s="377"/>
      <c r="D164" s="465" t="s">
        <v>520</v>
      </c>
      <c r="E164" s="417"/>
      <c r="F164" s="377"/>
      <c r="G164" s="53">
        <v>0</v>
      </c>
      <c r="H164" s="53"/>
      <c r="I164" s="53"/>
      <c r="J164" s="518"/>
      <c r="K164" s="53"/>
      <c r="L164" s="53">
        <f>SUM(L165:L166)</f>
        <v>0</v>
      </c>
      <c r="M164" s="53"/>
      <c r="N164" s="53"/>
      <c r="O164" s="518"/>
      <c r="P164" s="53"/>
      <c r="Q164" s="53">
        <f>SUM(Q165:Q166)</f>
        <v>0</v>
      </c>
      <c r="R164" s="53"/>
      <c r="S164" s="53"/>
      <c r="T164" s="518"/>
      <c r="U164" s="53"/>
      <c r="V164" s="53">
        <f>SUM(V165:V166)</f>
        <v>0</v>
      </c>
      <c r="W164" s="53"/>
      <c r="X164" s="53"/>
      <c r="Y164" s="518"/>
      <c r="Z164" s="53"/>
      <c r="AA164" s="53">
        <f>SUM(AA165:AA166)</f>
        <v>0</v>
      </c>
      <c r="AB164" s="53"/>
      <c r="AC164" s="53"/>
      <c r="AD164" s="518"/>
      <c r="AE164" s="53"/>
      <c r="AF164" s="53">
        <f>SUM(AF165:AF166)</f>
        <v>0</v>
      </c>
      <c r="AG164" s="53"/>
      <c r="AH164" s="53"/>
      <c r="AI164" s="518"/>
      <c r="AJ164" s="53"/>
      <c r="AK164" s="53">
        <f>SUM(AK165:AK166)</f>
        <v>0</v>
      </c>
      <c r="AL164" s="53"/>
      <c r="AM164" s="53"/>
      <c r="AN164" s="518"/>
      <c r="AO164" s="53"/>
      <c r="AP164" s="53">
        <f>SUM(AP165:AP166)</f>
        <v>0</v>
      </c>
      <c r="AQ164" s="53"/>
      <c r="AR164" s="53"/>
      <c r="AS164" s="518"/>
      <c r="AT164" s="53"/>
      <c r="AU164" s="53">
        <f>SUM(AU165:AU166)</f>
        <v>0</v>
      </c>
      <c r="AV164" s="53"/>
      <c r="AW164" s="53"/>
      <c r="AX164" s="518"/>
      <c r="AY164" s="53"/>
      <c r="AZ164" s="53">
        <f>SUM(AZ165:AZ166)</f>
        <v>0</v>
      </c>
      <c r="BA164" s="53"/>
      <c r="BB164" s="53"/>
      <c r="BC164" s="518"/>
      <c r="BD164" s="53"/>
      <c r="BE164" s="53">
        <f>SUM(BE165:BE166)</f>
        <v>0</v>
      </c>
      <c r="BF164" s="53"/>
      <c r="BG164" s="53"/>
      <c r="BH164" s="518"/>
      <c r="BI164" s="53"/>
      <c r="BJ164" s="53">
        <f>SUM(BJ165:BJ166)</f>
        <v>0</v>
      </c>
      <c r="BK164" s="53"/>
      <c r="BL164" s="53"/>
      <c r="BM164" s="518"/>
      <c r="BN164" s="53"/>
      <c r="BO164" s="53">
        <f>SUM(BO165:BO166)</f>
        <v>0</v>
      </c>
      <c r="BP164" s="53"/>
      <c r="BQ164" s="53"/>
      <c r="BR164" s="518"/>
      <c r="BS164" s="53"/>
      <c r="BT164" s="53">
        <f>SUM(BT165:BT166)</f>
        <v>0</v>
      </c>
      <c r="BU164" s="53"/>
      <c r="BV164" s="53"/>
      <c r="BW164" s="465"/>
    </row>
    <row r="165" spans="1:78" ht="12.75" hidden="1" customHeight="1" x14ac:dyDescent="0.2">
      <c r="A165" s="377"/>
      <c r="B165" s="377"/>
      <c r="C165" s="377"/>
      <c r="D165" s="465" t="s">
        <v>505</v>
      </c>
      <c r="E165" s="417"/>
      <c r="F165" s="469"/>
      <c r="G165" s="520">
        <v>0</v>
      </c>
      <c r="H165" s="521"/>
      <c r="I165" s="53"/>
      <c r="J165" s="518"/>
      <c r="K165" s="519"/>
      <c r="L165" s="520">
        <v>0</v>
      </c>
      <c r="M165" s="521"/>
      <c r="N165" s="53"/>
      <c r="O165" s="518"/>
      <c r="P165" s="519"/>
      <c r="Q165" s="520">
        <v>0</v>
      </c>
      <c r="R165" s="521"/>
      <c r="S165" s="53"/>
      <c r="T165" s="518"/>
      <c r="U165" s="519"/>
      <c r="V165" s="520">
        <v>0</v>
      </c>
      <c r="W165" s="521"/>
      <c r="X165" s="53"/>
      <c r="Y165" s="518"/>
      <c r="Z165" s="519"/>
      <c r="AA165" s="520">
        <v>0</v>
      </c>
      <c r="AB165" s="521"/>
      <c r="AC165" s="53"/>
      <c r="AD165" s="518"/>
      <c r="AE165" s="519"/>
      <c r="AF165" s="520">
        <v>0</v>
      </c>
      <c r="AG165" s="521"/>
      <c r="AH165" s="53"/>
      <c r="AI165" s="518"/>
      <c r="AJ165" s="519"/>
      <c r="AK165" s="520">
        <v>0</v>
      </c>
      <c r="AL165" s="521"/>
      <c r="AM165" s="53"/>
      <c r="AN165" s="518"/>
      <c r="AO165" s="519"/>
      <c r="AP165" s="520">
        <v>0</v>
      </c>
      <c r="AQ165" s="521"/>
      <c r="AR165" s="53"/>
      <c r="AS165" s="518"/>
      <c r="AT165" s="519"/>
      <c r="AU165" s="520">
        <v>0</v>
      </c>
      <c r="AV165" s="521"/>
      <c r="AW165" s="53"/>
      <c r="AX165" s="518"/>
      <c r="AY165" s="519"/>
      <c r="AZ165" s="520">
        <v>0</v>
      </c>
      <c r="BA165" s="521"/>
      <c r="BB165" s="53"/>
      <c r="BC165" s="518"/>
      <c r="BD165" s="519"/>
      <c r="BE165" s="520">
        <v>0</v>
      </c>
      <c r="BF165" s="521"/>
      <c r="BG165" s="53"/>
      <c r="BH165" s="518"/>
      <c r="BI165" s="519"/>
      <c r="BJ165" s="520">
        <v>0</v>
      </c>
      <c r="BK165" s="521"/>
      <c r="BL165" s="53"/>
      <c r="BM165" s="518"/>
      <c r="BN165" s="519"/>
      <c r="BO165" s="520">
        <v>0</v>
      </c>
      <c r="BP165" s="521"/>
      <c r="BQ165" s="53"/>
      <c r="BR165" s="518"/>
      <c r="BS165" s="519"/>
      <c r="BT165" s="520">
        <f>SUM(L165:BO165)</f>
        <v>0</v>
      </c>
      <c r="BU165" s="521"/>
      <c r="BV165" s="53"/>
      <c r="BW165" s="465"/>
    </row>
    <row r="166" spans="1:78" ht="12.75" hidden="1" customHeight="1" x14ac:dyDescent="0.2">
      <c r="A166" s="377"/>
      <c r="B166" s="377"/>
      <c r="C166" s="377"/>
      <c r="D166" s="465" t="s">
        <v>506</v>
      </c>
      <c r="E166" s="417"/>
      <c r="F166" s="478"/>
      <c r="G166" s="102">
        <v>0</v>
      </c>
      <c r="H166" s="101"/>
      <c r="I166" s="53"/>
      <c r="J166" s="518"/>
      <c r="K166" s="522"/>
      <c r="L166" s="102">
        <v>0</v>
      </c>
      <c r="M166" s="101"/>
      <c r="N166" s="53"/>
      <c r="O166" s="518"/>
      <c r="P166" s="522"/>
      <c r="Q166" s="102">
        <v>0</v>
      </c>
      <c r="R166" s="101"/>
      <c r="S166" s="53"/>
      <c r="T166" s="518"/>
      <c r="U166" s="522"/>
      <c r="V166" s="102">
        <v>0</v>
      </c>
      <c r="W166" s="101"/>
      <c r="X166" s="53"/>
      <c r="Y166" s="518"/>
      <c r="Z166" s="522"/>
      <c r="AA166" s="102">
        <v>0</v>
      </c>
      <c r="AB166" s="101"/>
      <c r="AC166" s="53"/>
      <c r="AD166" s="518"/>
      <c r="AE166" s="522"/>
      <c r="AF166" s="102">
        <v>0</v>
      </c>
      <c r="AG166" s="101"/>
      <c r="AH166" s="53"/>
      <c r="AI166" s="518"/>
      <c r="AJ166" s="522"/>
      <c r="AK166" s="102">
        <v>0</v>
      </c>
      <c r="AL166" s="101"/>
      <c r="AM166" s="53"/>
      <c r="AN166" s="518"/>
      <c r="AO166" s="522"/>
      <c r="AP166" s="102">
        <v>0</v>
      </c>
      <c r="AQ166" s="101"/>
      <c r="AR166" s="53"/>
      <c r="AS166" s="518"/>
      <c r="AT166" s="522"/>
      <c r="AU166" s="102">
        <v>0</v>
      </c>
      <c r="AV166" s="101"/>
      <c r="AW166" s="53"/>
      <c r="AX166" s="518"/>
      <c r="AY166" s="522"/>
      <c r="AZ166" s="102">
        <v>0</v>
      </c>
      <c r="BA166" s="101"/>
      <c r="BB166" s="53"/>
      <c r="BC166" s="518"/>
      <c r="BD166" s="522"/>
      <c r="BE166" s="102">
        <v>0</v>
      </c>
      <c r="BF166" s="101"/>
      <c r="BG166" s="53"/>
      <c r="BH166" s="518"/>
      <c r="BI166" s="522"/>
      <c r="BJ166" s="102">
        <v>0</v>
      </c>
      <c r="BK166" s="101"/>
      <c r="BL166" s="53"/>
      <c r="BM166" s="518"/>
      <c r="BN166" s="522"/>
      <c r="BO166" s="102">
        <v>0</v>
      </c>
      <c r="BP166" s="101"/>
      <c r="BQ166" s="53"/>
      <c r="BR166" s="518"/>
      <c r="BS166" s="522"/>
      <c r="BT166" s="102">
        <f>SUM(L166:BO166)</f>
        <v>0</v>
      </c>
      <c r="BU166" s="101"/>
      <c r="BV166" s="53"/>
      <c r="BW166" s="465"/>
    </row>
    <row r="167" spans="1:78" hidden="1" x14ac:dyDescent="0.2">
      <c r="A167" s="377"/>
      <c r="B167" s="377"/>
      <c r="C167" s="377"/>
      <c r="D167" s="465"/>
      <c r="E167" s="417"/>
      <c r="F167" s="377"/>
      <c r="G167" s="53"/>
      <c r="H167" s="53"/>
      <c r="I167" s="53"/>
      <c r="J167" s="518"/>
      <c r="K167" s="53"/>
      <c r="L167" s="53"/>
      <c r="M167" s="53"/>
      <c r="N167" s="53"/>
      <c r="O167" s="518"/>
      <c r="P167" s="53"/>
      <c r="Q167" s="53"/>
      <c r="R167" s="53"/>
      <c r="S167" s="53"/>
      <c r="T167" s="518"/>
      <c r="U167" s="53"/>
      <c r="V167" s="53"/>
      <c r="W167" s="53"/>
      <c r="X167" s="53"/>
      <c r="Y167" s="518"/>
      <c r="Z167" s="53"/>
      <c r="AA167" s="53"/>
      <c r="AB167" s="53"/>
      <c r="AC167" s="53"/>
      <c r="AD167" s="518"/>
      <c r="AE167" s="53"/>
      <c r="AF167" s="53"/>
      <c r="AG167" s="53"/>
      <c r="AH167" s="53"/>
      <c r="AI167" s="518"/>
      <c r="AJ167" s="53"/>
      <c r="AK167" s="53"/>
      <c r="AL167" s="53"/>
      <c r="AM167" s="53"/>
      <c r="AN167" s="518"/>
      <c r="AO167" s="53"/>
      <c r="AP167" s="53"/>
      <c r="AQ167" s="53"/>
      <c r="AR167" s="53"/>
      <c r="AS167" s="518"/>
      <c r="AT167" s="53"/>
      <c r="AU167" s="53"/>
      <c r="AV167" s="53"/>
      <c r="AW167" s="53"/>
      <c r="AX167" s="518"/>
      <c r="AY167" s="53"/>
      <c r="AZ167" s="53"/>
      <c r="BA167" s="53"/>
      <c r="BB167" s="53"/>
      <c r="BC167" s="518"/>
      <c r="BD167" s="53"/>
      <c r="BE167" s="53"/>
      <c r="BF167" s="53"/>
      <c r="BG167" s="53"/>
      <c r="BH167" s="518"/>
      <c r="BI167" s="53"/>
      <c r="BJ167" s="53"/>
      <c r="BK167" s="53"/>
      <c r="BL167" s="53"/>
      <c r="BM167" s="518"/>
      <c r="BN167" s="53"/>
      <c r="BO167" s="53"/>
      <c r="BP167" s="53"/>
      <c r="BQ167" s="53"/>
      <c r="BR167" s="518"/>
      <c r="BS167" s="53"/>
      <c r="BT167" s="53"/>
      <c r="BU167" s="53"/>
      <c r="BV167" s="53"/>
      <c r="BW167" s="465"/>
    </row>
    <row r="168" spans="1:78" s="410" customFormat="1" hidden="1" x14ac:dyDescent="0.2">
      <c r="A168" s="411"/>
      <c r="B168" s="411"/>
      <c r="C168" s="411"/>
      <c r="D168" s="455" t="s">
        <v>521</v>
      </c>
      <c r="E168" s="485"/>
      <c r="F168" s="411"/>
      <c r="G168" s="42">
        <v>0</v>
      </c>
      <c r="H168" s="42"/>
      <c r="I168" s="42"/>
      <c r="J168" s="523"/>
      <c r="K168" s="42"/>
      <c r="L168" s="42">
        <f>SUM(L169:L170)</f>
        <v>0</v>
      </c>
      <c r="M168" s="42"/>
      <c r="N168" s="42"/>
      <c r="O168" s="523"/>
      <c r="P168" s="42"/>
      <c r="Q168" s="42">
        <f>SUM(Q169:Q170)</f>
        <v>0</v>
      </c>
      <c r="R168" s="42"/>
      <c r="S168" s="42"/>
      <c r="T168" s="523"/>
      <c r="U168" s="42"/>
      <c r="V168" s="42">
        <f>SUM(V169:V170)</f>
        <v>0</v>
      </c>
      <c r="W168" s="42"/>
      <c r="X168" s="42"/>
      <c r="Y168" s="523"/>
      <c r="Z168" s="42"/>
      <c r="AA168" s="42">
        <f>SUM(AA169:AA170)</f>
        <v>0</v>
      </c>
      <c r="AB168" s="42"/>
      <c r="AC168" s="42"/>
      <c r="AD168" s="523"/>
      <c r="AE168" s="42"/>
      <c r="AF168" s="42">
        <f>SUM(AF169:AF170)</f>
        <v>0</v>
      </c>
      <c r="AG168" s="42"/>
      <c r="AH168" s="42"/>
      <c r="AI168" s="523"/>
      <c r="AJ168" s="42"/>
      <c r="AK168" s="42">
        <f>SUM(AK169:AK170)</f>
        <v>0</v>
      </c>
      <c r="AL168" s="42"/>
      <c r="AM168" s="42"/>
      <c r="AN168" s="523"/>
      <c r="AO168" s="42"/>
      <c r="AP168" s="42">
        <f>SUM(AP169:AP170)</f>
        <v>0</v>
      </c>
      <c r="AQ168" s="42"/>
      <c r="AR168" s="42"/>
      <c r="AS168" s="523"/>
      <c r="AT168" s="42"/>
      <c r="AU168" s="42">
        <f>SUM(AU169:AU170)</f>
        <v>0</v>
      </c>
      <c r="AV168" s="42"/>
      <c r="AW168" s="42"/>
      <c r="AX168" s="523"/>
      <c r="AY168" s="42"/>
      <c r="AZ168" s="42">
        <f>SUM(AZ169:AZ170)</f>
        <v>0</v>
      </c>
      <c r="BA168" s="42"/>
      <c r="BB168" s="42"/>
      <c r="BC168" s="523"/>
      <c r="BD168" s="42"/>
      <c r="BE168" s="42">
        <f>SUM(BE169:BE170)</f>
        <v>0</v>
      </c>
      <c r="BF168" s="42"/>
      <c r="BG168" s="42"/>
      <c r="BH168" s="523"/>
      <c r="BI168" s="42"/>
      <c r="BJ168" s="42">
        <f>SUM(BJ169:BJ170)</f>
        <v>0</v>
      </c>
      <c r="BK168" s="42"/>
      <c r="BL168" s="42"/>
      <c r="BM168" s="523"/>
      <c r="BN168" s="42"/>
      <c r="BO168" s="42">
        <f>SUM(BO169:BO170)</f>
        <v>0</v>
      </c>
      <c r="BP168" s="42"/>
      <c r="BQ168" s="42"/>
      <c r="BR168" s="523"/>
      <c r="BS168" s="42"/>
      <c r="BT168" s="42">
        <f>SUM(BT169:BT170)</f>
        <v>0</v>
      </c>
      <c r="BU168" s="42"/>
      <c r="BV168" s="42"/>
      <c r="BW168" s="455"/>
      <c r="BY168" s="38"/>
      <c r="BZ168" s="38"/>
    </row>
    <row r="169" spans="1:78" hidden="1" x14ac:dyDescent="0.2">
      <c r="A169" s="377"/>
      <c r="B169" s="377"/>
      <c r="C169" s="377"/>
      <c r="D169" s="465" t="s">
        <v>505</v>
      </c>
      <c r="E169" s="417"/>
      <c r="F169" s="469"/>
      <c r="G169" s="520">
        <v>0</v>
      </c>
      <c r="H169" s="521"/>
      <c r="I169" s="53"/>
      <c r="J169" s="518"/>
      <c r="K169" s="519"/>
      <c r="L169" s="520">
        <f>L173+L177+L181+L185</f>
        <v>0</v>
      </c>
      <c r="M169" s="521"/>
      <c r="N169" s="53"/>
      <c r="O169" s="518"/>
      <c r="P169" s="519"/>
      <c r="Q169" s="520">
        <f>Q173+Q177+Q181+Q185</f>
        <v>0</v>
      </c>
      <c r="R169" s="521"/>
      <c r="S169" s="53"/>
      <c r="T169" s="518"/>
      <c r="U169" s="519"/>
      <c r="V169" s="520">
        <f>V173+V177+V181+V185</f>
        <v>0</v>
      </c>
      <c r="W169" s="521"/>
      <c r="X169" s="53"/>
      <c r="Y169" s="518"/>
      <c r="Z169" s="519"/>
      <c r="AA169" s="520">
        <f>AA173+AA177+AA181+AA185</f>
        <v>0</v>
      </c>
      <c r="AB169" s="521"/>
      <c r="AC169" s="53"/>
      <c r="AD169" s="518"/>
      <c r="AE169" s="519"/>
      <c r="AF169" s="520">
        <f>AF173+AF177+AF181+AF185</f>
        <v>0</v>
      </c>
      <c r="AG169" s="521"/>
      <c r="AH169" s="53"/>
      <c r="AI169" s="518"/>
      <c r="AJ169" s="519"/>
      <c r="AK169" s="520">
        <f>AK173+AK177+AK181+AK185</f>
        <v>0</v>
      </c>
      <c r="AL169" s="521"/>
      <c r="AM169" s="53"/>
      <c r="AN169" s="518"/>
      <c r="AO169" s="519"/>
      <c r="AP169" s="520">
        <f>AP173+AP177+AP181+AP185</f>
        <v>0</v>
      </c>
      <c r="AQ169" s="521"/>
      <c r="AR169" s="53"/>
      <c r="AS169" s="518"/>
      <c r="AT169" s="519"/>
      <c r="AU169" s="520">
        <f>AU173+AU177+AU181+AU185</f>
        <v>0</v>
      </c>
      <c r="AV169" s="521"/>
      <c r="AW169" s="53"/>
      <c r="AX169" s="518"/>
      <c r="AY169" s="519"/>
      <c r="AZ169" s="520">
        <f>AZ173+AZ177+AZ181+AZ185</f>
        <v>0</v>
      </c>
      <c r="BA169" s="521"/>
      <c r="BB169" s="53"/>
      <c r="BC169" s="518"/>
      <c r="BD169" s="519"/>
      <c r="BE169" s="520">
        <f>BE173+BE177+BE181+BE185</f>
        <v>0</v>
      </c>
      <c r="BF169" s="521"/>
      <c r="BG169" s="53"/>
      <c r="BH169" s="518"/>
      <c r="BI169" s="519"/>
      <c r="BJ169" s="520">
        <f>BJ173+BJ177+BJ181+BJ185</f>
        <v>0</v>
      </c>
      <c r="BK169" s="521"/>
      <c r="BL169" s="53"/>
      <c r="BM169" s="518"/>
      <c r="BN169" s="519"/>
      <c r="BO169" s="520">
        <f>BO173+BO177+BO181+BO185</f>
        <v>0</v>
      </c>
      <c r="BP169" s="521"/>
      <c r="BQ169" s="53"/>
      <c r="BR169" s="518"/>
      <c r="BS169" s="519"/>
      <c r="BT169" s="520">
        <f>BT173+BT177+BT181+BT185</f>
        <v>0</v>
      </c>
      <c r="BU169" s="521"/>
      <c r="BV169" s="53"/>
      <c r="BW169" s="465"/>
    </row>
    <row r="170" spans="1:78" hidden="1" x14ac:dyDescent="0.2">
      <c r="A170" s="377"/>
      <c r="B170" s="377"/>
      <c r="C170" s="377"/>
      <c r="D170" s="465" t="s">
        <v>506</v>
      </c>
      <c r="E170" s="417"/>
      <c r="F170" s="478"/>
      <c r="G170" s="102">
        <v>0</v>
      </c>
      <c r="H170" s="101"/>
      <c r="I170" s="53"/>
      <c r="J170" s="518"/>
      <c r="K170" s="522"/>
      <c r="L170" s="102">
        <f>L174+L178+L182+L186</f>
        <v>0</v>
      </c>
      <c r="M170" s="101"/>
      <c r="N170" s="53"/>
      <c r="O170" s="518"/>
      <c r="P170" s="522"/>
      <c r="Q170" s="102">
        <f>Q174+Q178+Q182+Q186</f>
        <v>0</v>
      </c>
      <c r="R170" s="101"/>
      <c r="S170" s="53"/>
      <c r="T170" s="518"/>
      <c r="U170" s="522"/>
      <c r="V170" s="102">
        <f>V174+V178+V182+V186</f>
        <v>0</v>
      </c>
      <c r="W170" s="101"/>
      <c r="X170" s="53"/>
      <c r="Y170" s="518"/>
      <c r="Z170" s="522"/>
      <c r="AA170" s="102">
        <f>AA174+AA178+AA182+AA186</f>
        <v>0</v>
      </c>
      <c r="AB170" s="101"/>
      <c r="AC170" s="53"/>
      <c r="AD170" s="518"/>
      <c r="AE170" s="522"/>
      <c r="AF170" s="102">
        <f>AF174+AF178+AF182+AF186</f>
        <v>0</v>
      </c>
      <c r="AG170" s="101"/>
      <c r="AH170" s="53"/>
      <c r="AI170" s="518"/>
      <c r="AJ170" s="522"/>
      <c r="AK170" s="102">
        <f>AK174+AK178+AK182+AK186</f>
        <v>0</v>
      </c>
      <c r="AL170" s="101"/>
      <c r="AM170" s="53"/>
      <c r="AN170" s="518"/>
      <c r="AO170" s="522"/>
      <c r="AP170" s="102">
        <f>AP174+AP178+AP182+AP186</f>
        <v>0</v>
      </c>
      <c r="AQ170" s="101"/>
      <c r="AR170" s="53"/>
      <c r="AS170" s="518"/>
      <c r="AT170" s="522"/>
      <c r="AU170" s="102">
        <f>AU174+AU178+AU182+AU186</f>
        <v>0</v>
      </c>
      <c r="AV170" s="101"/>
      <c r="AW170" s="53"/>
      <c r="AX170" s="518"/>
      <c r="AY170" s="522"/>
      <c r="AZ170" s="102">
        <f>AZ174+AZ178+AZ182+AZ186</f>
        <v>0</v>
      </c>
      <c r="BA170" s="101"/>
      <c r="BB170" s="53"/>
      <c r="BC170" s="518"/>
      <c r="BD170" s="522"/>
      <c r="BE170" s="102">
        <f>BE174+BE178+BE182+BE186</f>
        <v>0</v>
      </c>
      <c r="BF170" s="101"/>
      <c r="BG170" s="53"/>
      <c r="BH170" s="518"/>
      <c r="BI170" s="522"/>
      <c r="BJ170" s="102">
        <f>BJ174+BJ178+BJ182+BJ186</f>
        <v>0</v>
      </c>
      <c r="BK170" s="101"/>
      <c r="BL170" s="53"/>
      <c r="BM170" s="518"/>
      <c r="BN170" s="522"/>
      <c r="BO170" s="102">
        <f>BO174+BO178+BO182+BO186</f>
        <v>0</v>
      </c>
      <c r="BP170" s="101"/>
      <c r="BQ170" s="53"/>
      <c r="BR170" s="518"/>
      <c r="BS170" s="522"/>
      <c r="BT170" s="102">
        <f>BT174+BT178+BT182+BT186</f>
        <v>0</v>
      </c>
      <c r="BU170" s="101"/>
      <c r="BV170" s="53"/>
      <c r="BW170" s="465"/>
    </row>
    <row r="171" spans="1:78" hidden="1" x14ac:dyDescent="0.2">
      <c r="A171" s="377"/>
      <c r="B171" s="377"/>
      <c r="C171" s="377"/>
      <c r="D171" s="465"/>
      <c r="E171" s="417"/>
      <c r="F171" s="377"/>
      <c r="G171" s="53"/>
      <c r="H171" s="53"/>
      <c r="I171" s="53"/>
      <c r="J171" s="518"/>
      <c r="K171" s="53"/>
      <c r="L171" s="53"/>
      <c r="M171" s="53"/>
      <c r="N171" s="53"/>
      <c r="O171" s="518"/>
      <c r="P171" s="53"/>
      <c r="Q171" s="53"/>
      <c r="R171" s="53"/>
      <c r="S171" s="53"/>
      <c r="T171" s="518"/>
      <c r="U171" s="53"/>
      <c r="V171" s="53"/>
      <c r="W171" s="53"/>
      <c r="X171" s="53"/>
      <c r="Y171" s="518"/>
      <c r="Z171" s="53"/>
      <c r="AA171" s="53"/>
      <c r="AB171" s="53"/>
      <c r="AC171" s="53"/>
      <c r="AD171" s="518"/>
      <c r="AE171" s="53"/>
      <c r="AF171" s="53"/>
      <c r="AG171" s="53"/>
      <c r="AH171" s="53"/>
      <c r="AI171" s="518"/>
      <c r="AJ171" s="53"/>
      <c r="AK171" s="53"/>
      <c r="AL171" s="53"/>
      <c r="AM171" s="53"/>
      <c r="AN171" s="518"/>
      <c r="AO171" s="53"/>
      <c r="AP171" s="53"/>
      <c r="AQ171" s="53"/>
      <c r="AR171" s="53"/>
      <c r="AS171" s="518"/>
      <c r="AT171" s="53"/>
      <c r="AU171" s="53"/>
      <c r="AV171" s="53"/>
      <c r="AW171" s="53"/>
      <c r="AX171" s="518"/>
      <c r="AY171" s="53"/>
      <c r="AZ171" s="53"/>
      <c r="BA171" s="53"/>
      <c r="BB171" s="53"/>
      <c r="BC171" s="518"/>
      <c r="BD171" s="53"/>
      <c r="BE171" s="53"/>
      <c r="BF171" s="53"/>
      <c r="BG171" s="53"/>
      <c r="BH171" s="518"/>
      <c r="BI171" s="53"/>
      <c r="BJ171" s="53"/>
      <c r="BK171" s="53"/>
      <c r="BL171" s="53"/>
      <c r="BM171" s="518"/>
      <c r="BN171" s="53"/>
      <c r="BO171" s="53"/>
      <c r="BP171" s="53"/>
      <c r="BQ171" s="53"/>
      <c r="BR171" s="518"/>
      <c r="BS171" s="53"/>
      <c r="BT171" s="53"/>
      <c r="BU171" s="53"/>
      <c r="BV171" s="53"/>
      <c r="BW171" s="465"/>
    </row>
    <row r="172" spans="1:78" hidden="1" x14ac:dyDescent="0.2">
      <c r="A172" s="377"/>
      <c r="B172" s="377"/>
      <c r="C172" s="377"/>
      <c r="D172" s="465" t="s">
        <v>522</v>
      </c>
      <c r="E172" s="417"/>
      <c r="F172" s="377"/>
      <c r="G172" s="53">
        <v>0</v>
      </c>
      <c r="H172" s="53"/>
      <c r="I172" s="53"/>
      <c r="J172" s="518"/>
      <c r="K172" s="53"/>
      <c r="L172" s="53">
        <f>SUM(L173:L174)</f>
        <v>0</v>
      </c>
      <c r="M172" s="53"/>
      <c r="N172" s="53"/>
      <c r="O172" s="518"/>
      <c r="P172" s="53"/>
      <c r="Q172" s="53">
        <f>SUM(Q173:Q174)</f>
        <v>0</v>
      </c>
      <c r="R172" s="53"/>
      <c r="S172" s="53"/>
      <c r="T172" s="518"/>
      <c r="U172" s="53"/>
      <c r="V172" s="53">
        <f>SUM(V173:V174)</f>
        <v>0</v>
      </c>
      <c r="W172" s="53"/>
      <c r="X172" s="53"/>
      <c r="Y172" s="518"/>
      <c r="Z172" s="53"/>
      <c r="AA172" s="53">
        <f>SUM(AA173:AA174)</f>
        <v>0</v>
      </c>
      <c r="AB172" s="53"/>
      <c r="AC172" s="53"/>
      <c r="AD172" s="518"/>
      <c r="AE172" s="53"/>
      <c r="AF172" s="53">
        <f>SUM(AF173:AF174)</f>
        <v>0</v>
      </c>
      <c r="AG172" s="53"/>
      <c r="AH172" s="53"/>
      <c r="AI172" s="518"/>
      <c r="AJ172" s="53"/>
      <c r="AK172" s="53">
        <f>SUM(AK173:AK174)</f>
        <v>0</v>
      </c>
      <c r="AL172" s="53"/>
      <c r="AM172" s="53"/>
      <c r="AN172" s="518"/>
      <c r="AO172" s="53"/>
      <c r="AP172" s="53">
        <f>SUM(AP173:AP174)</f>
        <v>0</v>
      </c>
      <c r="AQ172" s="53"/>
      <c r="AR172" s="53"/>
      <c r="AS172" s="518"/>
      <c r="AT172" s="53"/>
      <c r="AU172" s="53">
        <f>SUM(AU173:AU174)</f>
        <v>0</v>
      </c>
      <c r="AV172" s="53"/>
      <c r="AW172" s="53"/>
      <c r="AX172" s="518"/>
      <c r="AY172" s="53"/>
      <c r="AZ172" s="53">
        <f>SUM(AZ173:AZ174)</f>
        <v>0</v>
      </c>
      <c r="BA172" s="53"/>
      <c r="BB172" s="53"/>
      <c r="BC172" s="518"/>
      <c r="BD172" s="53"/>
      <c r="BE172" s="53">
        <f>SUM(BE173:BE174)</f>
        <v>0</v>
      </c>
      <c r="BF172" s="53"/>
      <c r="BG172" s="53"/>
      <c r="BH172" s="518"/>
      <c r="BI172" s="53"/>
      <c r="BJ172" s="53">
        <f>SUM(BJ173:BJ174)</f>
        <v>0</v>
      </c>
      <c r="BK172" s="53"/>
      <c r="BL172" s="53"/>
      <c r="BM172" s="518"/>
      <c r="BN172" s="53"/>
      <c r="BO172" s="53">
        <f>SUM(BO173:BO174)</f>
        <v>0</v>
      </c>
      <c r="BP172" s="53"/>
      <c r="BQ172" s="53"/>
      <c r="BR172" s="518"/>
      <c r="BS172" s="53"/>
      <c r="BT172" s="53">
        <f>SUM(BT173:BT174)</f>
        <v>0</v>
      </c>
      <c r="BU172" s="53"/>
      <c r="BV172" s="53"/>
      <c r="BW172" s="465"/>
    </row>
    <row r="173" spans="1:78" hidden="1" x14ac:dyDescent="0.2">
      <c r="A173" s="377"/>
      <c r="B173" s="377"/>
      <c r="C173" s="377"/>
      <c r="D173" s="465" t="s">
        <v>505</v>
      </c>
      <c r="E173" s="417"/>
      <c r="F173" s="469"/>
      <c r="G173" s="520">
        <v>0</v>
      </c>
      <c r="H173" s="521"/>
      <c r="I173" s="53"/>
      <c r="J173" s="518"/>
      <c r="K173" s="519"/>
      <c r="L173" s="520">
        <v>0</v>
      </c>
      <c r="M173" s="521"/>
      <c r="N173" s="53"/>
      <c r="O173" s="518"/>
      <c r="P173" s="519"/>
      <c r="Q173" s="520">
        <v>0</v>
      </c>
      <c r="R173" s="521"/>
      <c r="S173" s="53"/>
      <c r="T173" s="518"/>
      <c r="U173" s="519"/>
      <c r="V173" s="520">
        <v>0</v>
      </c>
      <c r="W173" s="521"/>
      <c r="X173" s="53"/>
      <c r="Y173" s="518"/>
      <c r="Z173" s="519"/>
      <c r="AA173" s="520">
        <v>0</v>
      </c>
      <c r="AB173" s="521"/>
      <c r="AC173" s="53"/>
      <c r="AD173" s="518"/>
      <c r="AE173" s="519"/>
      <c r="AF173" s="520">
        <v>0</v>
      </c>
      <c r="AG173" s="521"/>
      <c r="AH173" s="53"/>
      <c r="AI173" s="518"/>
      <c r="AJ173" s="519"/>
      <c r="AK173" s="520">
        <v>0</v>
      </c>
      <c r="AL173" s="521"/>
      <c r="AM173" s="53"/>
      <c r="AN173" s="518"/>
      <c r="AO173" s="519"/>
      <c r="AP173" s="520">
        <v>0</v>
      </c>
      <c r="AQ173" s="521"/>
      <c r="AR173" s="53"/>
      <c r="AS173" s="518"/>
      <c r="AT173" s="519"/>
      <c r="AU173" s="520">
        <v>0</v>
      </c>
      <c r="AV173" s="521"/>
      <c r="AW173" s="53"/>
      <c r="AX173" s="518"/>
      <c r="AY173" s="519"/>
      <c r="AZ173" s="520">
        <v>0</v>
      </c>
      <c r="BA173" s="521"/>
      <c r="BB173" s="53"/>
      <c r="BC173" s="518"/>
      <c r="BD173" s="519"/>
      <c r="BE173" s="520">
        <v>0</v>
      </c>
      <c r="BF173" s="521"/>
      <c r="BG173" s="53"/>
      <c r="BH173" s="518"/>
      <c r="BI173" s="519"/>
      <c r="BJ173" s="520">
        <v>0</v>
      </c>
      <c r="BK173" s="521"/>
      <c r="BL173" s="53"/>
      <c r="BM173" s="518"/>
      <c r="BN173" s="519"/>
      <c r="BO173" s="520">
        <v>0</v>
      </c>
      <c r="BP173" s="521"/>
      <c r="BQ173" s="53"/>
      <c r="BR173" s="518"/>
      <c r="BS173" s="519"/>
      <c r="BT173" s="520">
        <f>SUM(L173:BO173)</f>
        <v>0</v>
      </c>
      <c r="BU173" s="521"/>
      <c r="BV173" s="53"/>
      <c r="BW173" s="465"/>
    </row>
    <row r="174" spans="1:78" hidden="1" x14ac:dyDescent="0.2">
      <c r="A174" s="377"/>
      <c r="B174" s="377"/>
      <c r="C174" s="377"/>
      <c r="D174" s="465" t="s">
        <v>506</v>
      </c>
      <c r="E174" s="417"/>
      <c r="F174" s="478"/>
      <c r="G174" s="102">
        <v>0</v>
      </c>
      <c r="H174" s="101"/>
      <c r="I174" s="53"/>
      <c r="J174" s="518"/>
      <c r="K174" s="522"/>
      <c r="L174" s="102">
        <v>0</v>
      </c>
      <c r="M174" s="101"/>
      <c r="N174" s="53"/>
      <c r="O174" s="518"/>
      <c r="P174" s="522"/>
      <c r="Q174" s="102">
        <v>0</v>
      </c>
      <c r="R174" s="101"/>
      <c r="S174" s="53"/>
      <c r="T174" s="518"/>
      <c r="U174" s="522"/>
      <c r="V174" s="102">
        <v>0</v>
      </c>
      <c r="W174" s="101"/>
      <c r="X174" s="53"/>
      <c r="Y174" s="518"/>
      <c r="Z174" s="522"/>
      <c r="AA174" s="102">
        <v>0</v>
      </c>
      <c r="AB174" s="101"/>
      <c r="AC174" s="53"/>
      <c r="AD174" s="518"/>
      <c r="AE174" s="522"/>
      <c r="AF174" s="102">
        <v>0</v>
      </c>
      <c r="AG174" s="101"/>
      <c r="AH174" s="53"/>
      <c r="AI174" s="518"/>
      <c r="AJ174" s="522"/>
      <c r="AK174" s="102">
        <v>0</v>
      </c>
      <c r="AL174" s="101"/>
      <c r="AM174" s="53"/>
      <c r="AN174" s="518"/>
      <c r="AO174" s="522"/>
      <c r="AP174" s="102">
        <v>0</v>
      </c>
      <c r="AQ174" s="101"/>
      <c r="AR174" s="53"/>
      <c r="AS174" s="518"/>
      <c r="AT174" s="522"/>
      <c r="AU174" s="102">
        <v>0</v>
      </c>
      <c r="AV174" s="101"/>
      <c r="AW174" s="53"/>
      <c r="AX174" s="518"/>
      <c r="AY174" s="522"/>
      <c r="AZ174" s="102">
        <v>0</v>
      </c>
      <c r="BA174" s="101"/>
      <c r="BB174" s="53"/>
      <c r="BC174" s="518"/>
      <c r="BD174" s="522"/>
      <c r="BE174" s="102">
        <v>0</v>
      </c>
      <c r="BF174" s="101"/>
      <c r="BG174" s="53"/>
      <c r="BH174" s="518"/>
      <c r="BI174" s="522"/>
      <c r="BJ174" s="102">
        <v>0</v>
      </c>
      <c r="BK174" s="101"/>
      <c r="BL174" s="53"/>
      <c r="BM174" s="518"/>
      <c r="BN174" s="522"/>
      <c r="BO174" s="102">
        <v>0</v>
      </c>
      <c r="BP174" s="101"/>
      <c r="BQ174" s="53"/>
      <c r="BR174" s="518"/>
      <c r="BS174" s="522"/>
      <c r="BT174" s="102">
        <f>SUM(L174:BO174)</f>
        <v>0</v>
      </c>
      <c r="BU174" s="101"/>
      <c r="BV174" s="53"/>
      <c r="BW174" s="465"/>
    </row>
    <row r="175" spans="1:78" hidden="1" x14ac:dyDescent="0.2">
      <c r="A175" s="377"/>
      <c r="B175" s="377"/>
      <c r="C175" s="377"/>
      <c r="D175" s="465"/>
      <c r="E175" s="417"/>
      <c r="F175" s="377"/>
      <c r="G175" s="53"/>
      <c r="H175" s="53"/>
      <c r="I175" s="53"/>
      <c r="J175" s="518"/>
      <c r="K175" s="53"/>
      <c r="L175" s="53"/>
      <c r="M175" s="53"/>
      <c r="N175" s="53"/>
      <c r="O175" s="518"/>
      <c r="P175" s="53"/>
      <c r="Q175" s="53"/>
      <c r="R175" s="53"/>
      <c r="S175" s="53"/>
      <c r="T175" s="518"/>
      <c r="U175" s="53"/>
      <c r="V175" s="53"/>
      <c r="W175" s="53"/>
      <c r="X175" s="53"/>
      <c r="Y175" s="518"/>
      <c r="Z175" s="53"/>
      <c r="AA175" s="53"/>
      <c r="AB175" s="53"/>
      <c r="AC175" s="53"/>
      <c r="AD175" s="518"/>
      <c r="AE175" s="53"/>
      <c r="AF175" s="53"/>
      <c r="AG175" s="53"/>
      <c r="AH175" s="53"/>
      <c r="AI175" s="518"/>
      <c r="AJ175" s="53"/>
      <c r="AK175" s="53"/>
      <c r="AL175" s="53"/>
      <c r="AM175" s="53"/>
      <c r="AN175" s="518"/>
      <c r="AO175" s="53"/>
      <c r="AP175" s="53"/>
      <c r="AQ175" s="53"/>
      <c r="AR175" s="53"/>
      <c r="AS175" s="518"/>
      <c r="AT175" s="53"/>
      <c r="AU175" s="53"/>
      <c r="AV175" s="53"/>
      <c r="AW175" s="53"/>
      <c r="AX175" s="518"/>
      <c r="AY175" s="53"/>
      <c r="AZ175" s="53"/>
      <c r="BA175" s="53"/>
      <c r="BB175" s="53"/>
      <c r="BC175" s="518"/>
      <c r="BD175" s="53"/>
      <c r="BE175" s="53"/>
      <c r="BF175" s="53"/>
      <c r="BG175" s="53"/>
      <c r="BH175" s="518"/>
      <c r="BI175" s="53"/>
      <c r="BJ175" s="53"/>
      <c r="BK175" s="53"/>
      <c r="BL175" s="53"/>
      <c r="BM175" s="518"/>
      <c r="BN175" s="53"/>
      <c r="BO175" s="53"/>
      <c r="BP175" s="53"/>
      <c r="BQ175" s="53"/>
      <c r="BR175" s="518"/>
      <c r="BS175" s="53"/>
      <c r="BT175" s="53"/>
      <c r="BU175" s="53"/>
      <c r="BV175" s="53"/>
      <c r="BW175" s="465"/>
    </row>
    <row r="176" spans="1:78" hidden="1" x14ac:dyDescent="0.2">
      <c r="A176" s="377"/>
      <c r="B176" s="377"/>
      <c r="C176" s="377"/>
      <c r="D176" s="465" t="s">
        <v>523</v>
      </c>
      <c r="E176" s="417"/>
      <c r="F176" s="377"/>
      <c r="G176" s="53">
        <f>SUM(G177:G178)</f>
        <v>0</v>
      </c>
      <c r="H176" s="53"/>
      <c r="I176" s="53"/>
      <c r="J176" s="518"/>
      <c r="K176" s="53"/>
      <c r="L176" s="53">
        <f>SUM(L177:L178)</f>
        <v>0</v>
      </c>
      <c r="M176" s="53"/>
      <c r="N176" s="53"/>
      <c r="O176" s="518"/>
      <c r="P176" s="53"/>
      <c r="Q176" s="53">
        <f>SUM(Q177:Q178)</f>
        <v>0</v>
      </c>
      <c r="R176" s="53"/>
      <c r="S176" s="53"/>
      <c r="T176" s="518"/>
      <c r="U176" s="53"/>
      <c r="V176" s="53">
        <f>SUM(V177:V178)</f>
        <v>0</v>
      </c>
      <c r="W176" s="53"/>
      <c r="X176" s="53"/>
      <c r="Y176" s="518"/>
      <c r="Z176" s="53"/>
      <c r="AA176" s="53">
        <f>SUM(AA177:AA178)</f>
        <v>0</v>
      </c>
      <c r="AB176" s="53"/>
      <c r="AC176" s="53"/>
      <c r="AD176" s="518"/>
      <c r="AE176" s="53"/>
      <c r="AF176" s="53">
        <f>SUM(AF177:AF178)</f>
        <v>0</v>
      </c>
      <c r="AG176" s="53"/>
      <c r="AH176" s="53"/>
      <c r="AI176" s="518"/>
      <c r="AJ176" s="53"/>
      <c r="AK176" s="53">
        <f>SUM(AK177:AK178)</f>
        <v>0</v>
      </c>
      <c r="AL176" s="53"/>
      <c r="AM176" s="53"/>
      <c r="AN176" s="518"/>
      <c r="AO176" s="53"/>
      <c r="AP176" s="53">
        <f>SUM(AP177:AP178)</f>
        <v>0</v>
      </c>
      <c r="AQ176" s="53"/>
      <c r="AR176" s="53"/>
      <c r="AS176" s="518"/>
      <c r="AT176" s="53"/>
      <c r="AU176" s="53">
        <f>SUM(AU177:AU178)</f>
        <v>0</v>
      </c>
      <c r="AV176" s="53"/>
      <c r="AW176" s="53"/>
      <c r="AX176" s="518"/>
      <c r="AY176" s="53"/>
      <c r="AZ176" s="53">
        <f>SUM(AZ177:AZ178)</f>
        <v>0</v>
      </c>
      <c r="BA176" s="53"/>
      <c r="BB176" s="53"/>
      <c r="BC176" s="518"/>
      <c r="BD176" s="53"/>
      <c r="BE176" s="53">
        <f>SUM(BE177:BE178)</f>
        <v>0</v>
      </c>
      <c r="BF176" s="53"/>
      <c r="BG176" s="53"/>
      <c r="BH176" s="518"/>
      <c r="BI176" s="53"/>
      <c r="BJ176" s="53">
        <f>SUM(BJ177:BJ178)</f>
        <v>0</v>
      </c>
      <c r="BK176" s="53"/>
      <c r="BL176" s="53"/>
      <c r="BM176" s="518"/>
      <c r="BN176" s="53"/>
      <c r="BO176" s="53">
        <f>SUM(BO177:BO178)</f>
        <v>0</v>
      </c>
      <c r="BP176" s="53"/>
      <c r="BQ176" s="53"/>
      <c r="BR176" s="518"/>
      <c r="BS176" s="53"/>
      <c r="BT176" s="53">
        <f>SUM(BT177:BT178)</f>
        <v>0</v>
      </c>
      <c r="BU176" s="53"/>
      <c r="BV176" s="53"/>
      <c r="BW176" s="465"/>
    </row>
    <row r="177" spans="1:75" hidden="1" x14ac:dyDescent="0.2">
      <c r="A177" s="377"/>
      <c r="B177" s="377"/>
      <c r="C177" s="377"/>
      <c r="D177" s="465" t="s">
        <v>505</v>
      </c>
      <c r="E177" s="417"/>
      <c r="F177" s="469"/>
      <c r="G177" s="520">
        <v>0</v>
      </c>
      <c r="H177" s="521"/>
      <c r="I177" s="53"/>
      <c r="J177" s="518"/>
      <c r="K177" s="519"/>
      <c r="L177" s="520">
        <v>0</v>
      </c>
      <c r="M177" s="521"/>
      <c r="N177" s="53"/>
      <c r="O177" s="518"/>
      <c r="P177" s="519"/>
      <c r="Q177" s="520">
        <v>0</v>
      </c>
      <c r="R177" s="521"/>
      <c r="S177" s="53"/>
      <c r="T177" s="518"/>
      <c r="U177" s="519"/>
      <c r="V177" s="520">
        <v>0</v>
      </c>
      <c r="W177" s="521"/>
      <c r="X177" s="53"/>
      <c r="Y177" s="518"/>
      <c r="Z177" s="519"/>
      <c r="AA177" s="520">
        <v>0</v>
      </c>
      <c r="AB177" s="521"/>
      <c r="AC177" s="53"/>
      <c r="AD177" s="518"/>
      <c r="AE177" s="519"/>
      <c r="AF177" s="520">
        <v>0</v>
      </c>
      <c r="AG177" s="521"/>
      <c r="AH177" s="53"/>
      <c r="AI177" s="518"/>
      <c r="AJ177" s="519"/>
      <c r="AK177" s="520">
        <v>0</v>
      </c>
      <c r="AL177" s="521"/>
      <c r="AM177" s="53"/>
      <c r="AN177" s="518"/>
      <c r="AO177" s="519"/>
      <c r="AP177" s="520">
        <v>0</v>
      </c>
      <c r="AQ177" s="521"/>
      <c r="AR177" s="53"/>
      <c r="AS177" s="518"/>
      <c r="AT177" s="519"/>
      <c r="AU177" s="520">
        <v>0</v>
      </c>
      <c r="AV177" s="521"/>
      <c r="AW177" s="53"/>
      <c r="AX177" s="518"/>
      <c r="AY177" s="519"/>
      <c r="AZ177" s="520">
        <v>0</v>
      </c>
      <c r="BA177" s="521"/>
      <c r="BB177" s="53"/>
      <c r="BC177" s="518"/>
      <c r="BD177" s="519"/>
      <c r="BE177" s="520">
        <v>0</v>
      </c>
      <c r="BF177" s="521"/>
      <c r="BG177" s="53"/>
      <c r="BH177" s="518"/>
      <c r="BI177" s="519"/>
      <c r="BJ177" s="520">
        <v>0</v>
      </c>
      <c r="BK177" s="521"/>
      <c r="BL177" s="53"/>
      <c r="BM177" s="518"/>
      <c r="BN177" s="519"/>
      <c r="BO177" s="520">
        <v>0</v>
      </c>
      <c r="BP177" s="521"/>
      <c r="BQ177" s="53"/>
      <c r="BR177" s="518"/>
      <c r="BS177" s="519"/>
      <c r="BT177" s="520">
        <f>SUM(L177:BO177)</f>
        <v>0</v>
      </c>
      <c r="BU177" s="521"/>
      <c r="BV177" s="53"/>
      <c r="BW177" s="465"/>
    </row>
    <row r="178" spans="1:75" hidden="1" x14ac:dyDescent="0.2">
      <c r="A178" s="377"/>
      <c r="B178" s="377"/>
      <c r="C178" s="377"/>
      <c r="D178" s="465" t="s">
        <v>506</v>
      </c>
      <c r="E178" s="417"/>
      <c r="F178" s="478"/>
      <c r="G178" s="102">
        <v>0</v>
      </c>
      <c r="H178" s="101"/>
      <c r="I178" s="53"/>
      <c r="J178" s="518"/>
      <c r="K178" s="522"/>
      <c r="L178" s="102">
        <v>0</v>
      </c>
      <c r="M178" s="101"/>
      <c r="N178" s="53"/>
      <c r="O178" s="518"/>
      <c r="P178" s="522"/>
      <c r="Q178" s="102">
        <v>0</v>
      </c>
      <c r="R178" s="101"/>
      <c r="S178" s="53"/>
      <c r="T178" s="518"/>
      <c r="U178" s="522"/>
      <c r="V178" s="102">
        <v>0</v>
      </c>
      <c r="W178" s="101"/>
      <c r="X178" s="53"/>
      <c r="Y178" s="518"/>
      <c r="Z178" s="522"/>
      <c r="AA178" s="102">
        <v>0</v>
      </c>
      <c r="AB178" s="101"/>
      <c r="AC178" s="53"/>
      <c r="AD178" s="518"/>
      <c r="AE178" s="522"/>
      <c r="AF178" s="102">
        <v>0</v>
      </c>
      <c r="AG178" s="101"/>
      <c r="AH178" s="53"/>
      <c r="AI178" s="518"/>
      <c r="AJ178" s="522"/>
      <c r="AK178" s="102">
        <v>0</v>
      </c>
      <c r="AL178" s="101"/>
      <c r="AM178" s="53"/>
      <c r="AN178" s="518"/>
      <c r="AO178" s="522"/>
      <c r="AP178" s="102">
        <v>0</v>
      </c>
      <c r="AQ178" s="101"/>
      <c r="AR178" s="53"/>
      <c r="AS178" s="518"/>
      <c r="AT178" s="522"/>
      <c r="AU178" s="102">
        <v>0</v>
      </c>
      <c r="AV178" s="101"/>
      <c r="AW178" s="53"/>
      <c r="AX178" s="518"/>
      <c r="AY178" s="522"/>
      <c r="AZ178" s="102">
        <v>0</v>
      </c>
      <c r="BA178" s="101"/>
      <c r="BB178" s="53"/>
      <c r="BC178" s="518"/>
      <c r="BD178" s="522"/>
      <c r="BE178" s="102">
        <v>0</v>
      </c>
      <c r="BF178" s="101"/>
      <c r="BG178" s="53"/>
      <c r="BH178" s="518"/>
      <c r="BI178" s="522"/>
      <c r="BJ178" s="102">
        <v>0</v>
      </c>
      <c r="BK178" s="101"/>
      <c r="BL178" s="53"/>
      <c r="BM178" s="518"/>
      <c r="BN178" s="522"/>
      <c r="BO178" s="102">
        <v>0</v>
      </c>
      <c r="BP178" s="101"/>
      <c r="BQ178" s="53"/>
      <c r="BR178" s="518"/>
      <c r="BS178" s="522"/>
      <c r="BT178" s="102">
        <f>SUM(L178:BO178)</f>
        <v>0</v>
      </c>
      <c r="BU178" s="101"/>
      <c r="BV178" s="53"/>
      <c r="BW178" s="465"/>
    </row>
    <row r="179" spans="1:75" hidden="1" x14ac:dyDescent="0.2">
      <c r="A179" s="377"/>
      <c r="B179" s="377"/>
      <c r="C179" s="377"/>
      <c r="D179" s="465"/>
      <c r="E179" s="417"/>
      <c r="F179" s="377"/>
      <c r="G179" s="53"/>
      <c r="H179" s="53"/>
      <c r="I179" s="53"/>
      <c r="J179" s="518"/>
      <c r="K179" s="53"/>
      <c r="L179" s="53"/>
      <c r="M179" s="53"/>
      <c r="N179" s="53"/>
      <c r="O179" s="518"/>
      <c r="P179" s="53"/>
      <c r="Q179" s="53"/>
      <c r="R179" s="53"/>
      <c r="S179" s="53"/>
      <c r="T179" s="518"/>
      <c r="U179" s="53"/>
      <c r="V179" s="53"/>
      <c r="W179" s="53"/>
      <c r="X179" s="53"/>
      <c r="Y179" s="518"/>
      <c r="Z179" s="53"/>
      <c r="AA179" s="53"/>
      <c r="AB179" s="53"/>
      <c r="AC179" s="53"/>
      <c r="AD179" s="518"/>
      <c r="AE179" s="53"/>
      <c r="AF179" s="53"/>
      <c r="AG179" s="53"/>
      <c r="AH179" s="53"/>
      <c r="AI179" s="518"/>
      <c r="AJ179" s="53"/>
      <c r="AK179" s="53"/>
      <c r="AL179" s="53"/>
      <c r="AM179" s="53"/>
      <c r="AN179" s="518"/>
      <c r="AO179" s="53"/>
      <c r="AP179" s="53"/>
      <c r="AQ179" s="53"/>
      <c r="AR179" s="53"/>
      <c r="AS179" s="518"/>
      <c r="AT179" s="53"/>
      <c r="AU179" s="53"/>
      <c r="AV179" s="53"/>
      <c r="AW179" s="53"/>
      <c r="AX179" s="518"/>
      <c r="AY179" s="53"/>
      <c r="AZ179" s="53"/>
      <c r="BA179" s="53"/>
      <c r="BB179" s="53"/>
      <c r="BC179" s="518"/>
      <c r="BD179" s="53"/>
      <c r="BE179" s="53"/>
      <c r="BF179" s="53"/>
      <c r="BG179" s="53"/>
      <c r="BH179" s="518"/>
      <c r="BI179" s="53"/>
      <c r="BJ179" s="53"/>
      <c r="BK179" s="53"/>
      <c r="BL179" s="53"/>
      <c r="BM179" s="518"/>
      <c r="BN179" s="53"/>
      <c r="BO179" s="53"/>
      <c r="BP179" s="53"/>
      <c r="BQ179" s="53"/>
      <c r="BR179" s="518"/>
      <c r="BS179" s="53"/>
      <c r="BT179" s="53"/>
      <c r="BU179" s="53"/>
      <c r="BV179" s="53"/>
      <c r="BW179" s="465"/>
    </row>
    <row r="180" spans="1:75" hidden="1" x14ac:dyDescent="0.2">
      <c r="A180" s="377"/>
      <c r="B180" s="377"/>
      <c r="C180" s="377"/>
      <c r="D180" s="465" t="s">
        <v>524</v>
      </c>
      <c r="E180" s="417"/>
      <c r="F180" s="377"/>
      <c r="G180" s="53">
        <f>SUM(G181:G182)</f>
        <v>0</v>
      </c>
      <c r="H180" s="53"/>
      <c r="I180" s="53"/>
      <c r="J180" s="518"/>
      <c r="K180" s="53"/>
      <c r="L180" s="53">
        <f>SUM(L181:L182)</f>
        <v>0</v>
      </c>
      <c r="M180" s="53"/>
      <c r="N180" s="53"/>
      <c r="O180" s="518"/>
      <c r="P180" s="53"/>
      <c r="Q180" s="53">
        <f>SUM(Q181:Q182)</f>
        <v>0</v>
      </c>
      <c r="R180" s="53"/>
      <c r="S180" s="53"/>
      <c r="T180" s="518"/>
      <c r="U180" s="53"/>
      <c r="V180" s="53">
        <f>SUM(V181:V182)</f>
        <v>0</v>
      </c>
      <c r="W180" s="53"/>
      <c r="X180" s="53"/>
      <c r="Y180" s="518"/>
      <c r="Z180" s="53"/>
      <c r="AA180" s="53">
        <f>SUM(AA181:AA182)</f>
        <v>0</v>
      </c>
      <c r="AB180" s="53"/>
      <c r="AC180" s="53"/>
      <c r="AD180" s="518"/>
      <c r="AE180" s="53"/>
      <c r="AF180" s="53">
        <f>SUM(AF181:AF182)</f>
        <v>0</v>
      </c>
      <c r="AG180" s="53"/>
      <c r="AH180" s="53"/>
      <c r="AI180" s="518"/>
      <c r="AJ180" s="53"/>
      <c r="AK180" s="53">
        <f>SUM(AK181:AK182)</f>
        <v>0</v>
      </c>
      <c r="AL180" s="53"/>
      <c r="AM180" s="53"/>
      <c r="AN180" s="518"/>
      <c r="AO180" s="53"/>
      <c r="AP180" s="53">
        <f>SUM(AP181:AP182)</f>
        <v>0</v>
      </c>
      <c r="AQ180" s="53"/>
      <c r="AR180" s="53"/>
      <c r="AS180" s="518"/>
      <c r="AT180" s="53"/>
      <c r="AU180" s="53">
        <f>SUM(AU181:AU182)</f>
        <v>0</v>
      </c>
      <c r="AV180" s="53"/>
      <c r="AW180" s="53"/>
      <c r="AX180" s="518"/>
      <c r="AY180" s="53"/>
      <c r="AZ180" s="53">
        <f>SUM(AZ181:AZ182)</f>
        <v>0</v>
      </c>
      <c r="BA180" s="53"/>
      <c r="BB180" s="53"/>
      <c r="BC180" s="518"/>
      <c r="BD180" s="53"/>
      <c r="BE180" s="53">
        <f>SUM(BE181:BE182)</f>
        <v>0</v>
      </c>
      <c r="BF180" s="53"/>
      <c r="BG180" s="53"/>
      <c r="BH180" s="518"/>
      <c r="BI180" s="53"/>
      <c r="BJ180" s="53">
        <f>SUM(BJ181:BJ182)</f>
        <v>0</v>
      </c>
      <c r="BK180" s="53"/>
      <c r="BL180" s="53"/>
      <c r="BM180" s="518"/>
      <c r="BN180" s="53"/>
      <c r="BO180" s="53">
        <f>SUM(BO181:BO182)</f>
        <v>0</v>
      </c>
      <c r="BP180" s="53"/>
      <c r="BQ180" s="53"/>
      <c r="BR180" s="518"/>
      <c r="BS180" s="53"/>
      <c r="BT180" s="53">
        <f>SUM(BT181:BT182)</f>
        <v>0</v>
      </c>
      <c r="BU180" s="53"/>
      <c r="BV180" s="53"/>
      <c r="BW180" s="465"/>
    </row>
    <row r="181" spans="1:75" hidden="1" x14ac:dyDescent="0.2">
      <c r="A181" s="377"/>
      <c r="B181" s="377"/>
      <c r="C181" s="377"/>
      <c r="D181" s="465" t="s">
        <v>505</v>
      </c>
      <c r="E181" s="417"/>
      <c r="F181" s="469"/>
      <c r="G181" s="520">
        <v>0</v>
      </c>
      <c r="H181" s="521"/>
      <c r="I181" s="53"/>
      <c r="J181" s="518"/>
      <c r="K181" s="519"/>
      <c r="L181" s="520">
        <v>0</v>
      </c>
      <c r="M181" s="521"/>
      <c r="N181" s="53"/>
      <c r="O181" s="518"/>
      <c r="P181" s="519"/>
      <c r="Q181" s="520">
        <v>0</v>
      </c>
      <c r="R181" s="521"/>
      <c r="S181" s="53"/>
      <c r="T181" s="518"/>
      <c r="U181" s="519"/>
      <c r="V181" s="520">
        <v>0</v>
      </c>
      <c r="W181" s="521"/>
      <c r="X181" s="53"/>
      <c r="Y181" s="518"/>
      <c r="Z181" s="519"/>
      <c r="AA181" s="520">
        <v>0</v>
      </c>
      <c r="AB181" s="521"/>
      <c r="AC181" s="53"/>
      <c r="AD181" s="518"/>
      <c r="AE181" s="519"/>
      <c r="AF181" s="520">
        <v>0</v>
      </c>
      <c r="AG181" s="521"/>
      <c r="AH181" s="53"/>
      <c r="AI181" s="518"/>
      <c r="AJ181" s="519"/>
      <c r="AK181" s="520">
        <v>0</v>
      </c>
      <c r="AL181" s="521"/>
      <c r="AM181" s="53"/>
      <c r="AN181" s="518"/>
      <c r="AO181" s="519"/>
      <c r="AP181" s="520">
        <v>0</v>
      </c>
      <c r="AQ181" s="521"/>
      <c r="AR181" s="53"/>
      <c r="AS181" s="518"/>
      <c r="AT181" s="519"/>
      <c r="AU181" s="520">
        <v>0</v>
      </c>
      <c r="AV181" s="521"/>
      <c r="AW181" s="53"/>
      <c r="AX181" s="518"/>
      <c r="AY181" s="519"/>
      <c r="AZ181" s="520">
        <v>0</v>
      </c>
      <c r="BA181" s="521"/>
      <c r="BB181" s="53"/>
      <c r="BC181" s="518"/>
      <c r="BD181" s="519"/>
      <c r="BE181" s="520">
        <v>0</v>
      </c>
      <c r="BF181" s="521"/>
      <c r="BG181" s="53"/>
      <c r="BH181" s="518"/>
      <c r="BI181" s="519"/>
      <c r="BJ181" s="520">
        <v>0</v>
      </c>
      <c r="BK181" s="521"/>
      <c r="BL181" s="53"/>
      <c r="BM181" s="518"/>
      <c r="BN181" s="519"/>
      <c r="BO181" s="520">
        <v>0</v>
      </c>
      <c r="BP181" s="521"/>
      <c r="BQ181" s="53"/>
      <c r="BR181" s="518"/>
      <c r="BS181" s="519"/>
      <c r="BT181" s="520">
        <f>SUM(L181:BO181)</f>
        <v>0</v>
      </c>
      <c r="BU181" s="521"/>
      <c r="BV181" s="53"/>
      <c r="BW181" s="465"/>
    </row>
    <row r="182" spans="1:75" hidden="1" x14ac:dyDescent="0.2">
      <c r="A182" s="377"/>
      <c r="B182" s="377"/>
      <c r="C182" s="377"/>
      <c r="D182" s="465" t="s">
        <v>506</v>
      </c>
      <c r="E182" s="417"/>
      <c r="F182" s="478"/>
      <c r="G182" s="102">
        <v>0</v>
      </c>
      <c r="H182" s="101"/>
      <c r="I182" s="53"/>
      <c r="J182" s="518"/>
      <c r="K182" s="522"/>
      <c r="L182" s="102">
        <v>0</v>
      </c>
      <c r="M182" s="101"/>
      <c r="N182" s="53"/>
      <c r="O182" s="518"/>
      <c r="P182" s="522"/>
      <c r="Q182" s="102">
        <v>0</v>
      </c>
      <c r="R182" s="101"/>
      <c r="S182" s="53"/>
      <c r="T182" s="518"/>
      <c r="U182" s="522"/>
      <c r="V182" s="102">
        <v>0</v>
      </c>
      <c r="W182" s="101"/>
      <c r="X182" s="53"/>
      <c r="Y182" s="518"/>
      <c r="Z182" s="522"/>
      <c r="AA182" s="102">
        <v>0</v>
      </c>
      <c r="AB182" s="101"/>
      <c r="AC182" s="53"/>
      <c r="AD182" s="518"/>
      <c r="AE182" s="522"/>
      <c r="AF182" s="102">
        <v>0</v>
      </c>
      <c r="AG182" s="101"/>
      <c r="AH182" s="53"/>
      <c r="AI182" s="518"/>
      <c r="AJ182" s="522"/>
      <c r="AK182" s="102">
        <v>0</v>
      </c>
      <c r="AL182" s="101"/>
      <c r="AM182" s="53"/>
      <c r="AN182" s="518"/>
      <c r="AO182" s="522"/>
      <c r="AP182" s="102">
        <v>0</v>
      </c>
      <c r="AQ182" s="101"/>
      <c r="AR182" s="53"/>
      <c r="AS182" s="518"/>
      <c r="AT182" s="522"/>
      <c r="AU182" s="102">
        <v>0</v>
      </c>
      <c r="AV182" s="101"/>
      <c r="AW182" s="53"/>
      <c r="AX182" s="518"/>
      <c r="AY182" s="522"/>
      <c r="AZ182" s="102">
        <v>0</v>
      </c>
      <c r="BA182" s="101"/>
      <c r="BB182" s="53"/>
      <c r="BC182" s="518"/>
      <c r="BD182" s="522"/>
      <c r="BE182" s="102">
        <v>0</v>
      </c>
      <c r="BF182" s="101"/>
      <c r="BG182" s="53"/>
      <c r="BH182" s="518"/>
      <c r="BI182" s="522"/>
      <c r="BJ182" s="102">
        <v>0</v>
      </c>
      <c r="BK182" s="101"/>
      <c r="BL182" s="53"/>
      <c r="BM182" s="518"/>
      <c r="BN182" s="522"/>
      <c r="BO182" s="102">
        <v>0</v>
      </c>
      <c r="BP182" s="101"/>
      <c r="BQ182" s="53"/>
      <c r="BR182" s="518"/>
      <c r="BS182" s="522"/>
      <c r="BT182" s="102">
        <f>SUM(L182:BO182)</f>
        <v>0</v>
      </c>
      <c r="BU182" s="101"/>
      <c r="BV182" s="53"/>
      <c r="BW182" s="465"/>
    </row>
    <row r="183" spans="1:75" hidden="1" x14ac:dyDescent="0.2">
      <c r="A183" s="377"/>
      <c r="B183" s="377"/>
      <c r="C183" s="377"/>
      <c r="D183" s="465"/>
      <c r="E183" s="417"/>
      <c r="F183" s="377"/>
      <c r="G183" s="53"/>
      <c r="H183" s="53"/>
      <c r="I183" s="53"/>
      <c r="J183" s="518"/>
      <c r="K183" s="53"/>
      <c r="L183" s="53"/>
      <c r="M183" s="53"/>
      <c r="N183" s="53"/>
      <c r="O183" s="518"/>
      <c r="P183" s="53"/>
      <c r="Q183" s="53"/>
      <c r="R183" s="53"/>
      <c r="S183" s="53"/>
      <c r="T183" s="518"/>
      <c r="U183" s="53"/>
      <c r="V183" s="53"/>
      <c r="W183" s="53"/>
      <c r="X183" s="53"/>
      <c r="Y183" s="518"/>
      <c r="Z183" s="53"/>
      <c r="AA183" s="53"/>
      <c r="AB183" s="53"/>
      <c r="AC183" s="53"/>
      <c r="AD183" s="518"/>
      <c r="AE183" s="53"/>
      <c r="AF183" s="53"/>
      <c r="AG183" s="53"/>
      <c r="AH183" s="53"/>
      <c r="AI183" s="518"/>
      <c r="AJ183" s="53"/>
      <c r="AK183" s="53"/>
      <c r="AL183" s="53"/>
      <c r="AM183" s="53"/>
      <c r="AN183" s="518"/>
      <c r="AO183" s="53"/>
      <c r="AP183" s="53"/>
      <c r="AQ183" s="53"/>
      <c r="AR183" s="53"/>
      <c r="AS183" s="518"/>
      <c r="AT183" s="53"/>
      <c r="AU183" s="53"/>
      <c r="AV183" s="53"/>
      <c r="AW183" s="53"/>
      <c r="AX183" s="518"/>
      <c r="AY183" s="53"/>
      <c r="AZ183" s="53"/>
      <c r="BA183" s="53"/>
      <c r="BB183" s="53"/>
      <c r="BC183" s="518"/>
      <c r="BD183" s="53"/>
      <c r="BE183" s="53"/>
      <c r="BF183" s="53"/>
      <c r="BG183" s="53"/>
      <c r="BH183" s="518"/>
      <c r="BI183" s="53"/>
      <c r="BJ183" s="53"/>
      <c r="BK183" s="53"/>
      <c r="BL183" s="53"/>
      <c r="BM183" s="518"/>
      <c r="BN183" s="53"/>
      <c r="BO183" s="53"/>
      <c r="BP183" s="53"/>
      <c r="BQ183" s="53"/>
      <c r="BR183" s="518"/>
      <c r="BS183" s="53"/>
      <c r="BT183" s="53"/>
      <c r="BU183" s="53"/>
      <c r="BV183" s="53"/>
      <c r="BW183" s="465"/>
    </row>
    <row r="184" spans="1:75" hidden="1" x14ac:dyDescent="0.2">
      <c r="A184" s="377"/>
      <c r="B184" s="377"/>
      <c r="C184" s="377"/>
      <c r="D184" s="465" t="s">
        <v>525</v>
      </c>
      <c r="E184" s="417"/>
      <c r="F184" s="377"/>
      <c r="G184" s="53">
        <f>SUM(G185:G186)</f>
        <v>0</v>
      </c>
      <c r="H184" s="53"/>
      <c r="I184" s="53"/>
      <c r="J184" s="518"/>
      <c r="K184" s="53"/>
      <c r="L184" s="53">
        <f>SUM(L185:L186)</f>
        <v>0</v>
      </c>
      <c r="M184" s="53"/>
      <c r="N184" s="53"/>
      <c r="O184" s="518"/>
      <c r="P184" s="53"/>
      <c r="Q184" s="53">
        <f>SUM(Q185:Q186)</f>
        <v>0</v>
      </c>
      <c r="R184" s="53"/>
      <c r="S184" s="53"/>
      <c r="T184" s="518"/>
      <c r="U184" s="53"/>
      <c r="V184" s="53">
        <f>SUM(V185:V186)</f>
        <v>0</v>
      </c>
      <c r="W184" s="53"/>
      <c r="X184" s="53"/>
      <c r="Y184" s="518"/>
      <c r="Z184" s="53"/>
      <c r="AA184" s="53">
        <f>SUM(AA185:AA186)</f>
        <v>0</v>
      </c>
      <c r="AB184" s="53"/>
      <c r="AC184" s="53"/>
      <c r="AD184" s="518"/>
      <c r="AE184" s="53"/>
      <c r="AF184" s="53">
        <f>SUM(AF185:AF186)</f>
        <v>0</v>
      </c>
      <c r="AG184" s="53"/>
      <c r="AH184" s="53"/>
      <c r="AI184" s="518"/>
      <c r="AJ184" s="53"/>
      <c r="AK184" s="53">
        <f>SUM(AK185:AK186)</f>
        <v>0</v>
      </c>
      <c r="AL184" s="53"/>
      <c r="AM184" s="53"/>
      <c r="AN184" s="518"/>
      <c r="AO184" s="53"/>
      <c r="AP184" s="53">
        <f>SUM(AP185:AP186)</f>
        <v>0</v>
      </c>
      <c r="AQ184" s="53"/>
      <c r="AR184" s="53"/>
      <c r="AS184" s="518"/>
      <c r="AT184" s="53"/>
      <c r="AU184" s="53">
        <f>SUM(AU185:AU186)</f>
        <v>0</v>
      </c>
      <c r="AV184" s="53"/>
      <c r="AW184" s="53"/>
      <c r="AX184" s="518"/>
      <c r="AY184" s="53"/>
      <c r="AZ184" s="53">
        <f>SUM(AZ185:AZ186)</f>
        <v>0</v>
      </c>
      <c r="BA184" s="53"/>
      <c r="BB184" s="53"/>
      <c r="BC184" s="518"/>
      <c r="BD184" s="53"/>
      <c r="BE184" s="53">
        <f>SUM(BE185:BE186)</f>
        <v>0</v>
      </c>
      <c r="BF184" s="53"/>
      <c r="BG184" s="53"/>
      <c r="BH184" s="518"/>
      <c r="BI184" s="53"/>
      <c r="BJ184" s="53">
        <f>SUM(BJ185:BJ186)</f>
        <v>0</v>
      </c>
      <c r="BK184" s="53"/>
      <c r="BL184" s="53"/>
      <c r="BM184" s="518"/>
      <c r="BN184" s="53"/>
      <c r="BO184" s="53">
        <f>SUM(BO185:BO186)</f>
        <v>0</v>
      </c>
      <c r="BP184" s="53"/>
      <c r="BQ184" s="53"/>
      <c r="BR184" s="518"/>
      <c r="BS184" s="53"/>
      <c r="BT184" s="53">
        <f>SUM(BT185:BT186)</f>
        <v>0</v>
      </c>
      <c r="BU184" s="53"/>
      <c r="BV184" s="53"/>
      <c r="BW184" s="465"/>
    </row>
    <row r="185" spans="1:75" hidden="1" x14ac:dyDescent="0.2">
      <c r="A185" s="377"/>
      <c r="B185" s="377"/>
      <c r="C185" s="377"/>
      <c r="D185" s="465" t="s">
        <v>505</v>
      </c>
      <c r="E185" s="417"/>
      <c r="F185" s="469"/>
      <c r="G185" s="520">
        <v>0</v>
      </c>
      <c r="H185" s="521"/>
      <c r="I185" s="53"/>
      <c r="J185" s="518"/>
      <c r="K185" s="519"/>
      <c r="L185" s="520">
        <v>0</v>
      </c>
      <c r="M185" s="521"/>
      <c r="N185" s="53"/>
      <c r="O185" s="518"/>
      <c r="P185" s="519"/>
      <c r="Q185" s="520">
        <v>0</v>
      </c>
      <c r="R185" s="521"/>
      <c r="S185" s="53"/>
      <c r="T185" s="518"/>
      <c r="U185" s="519"/>
      <c r="V185" s="520">
        <v>0</v>
      </c>
      <c r="W185" s="521"/>
      <c r="X185" s="53"/>
      <c r="Y185" s="518"/>
      <c r="Z185" s="519"/>
      <c r="AA185" s="520">
        <v>0</v>
      </c>
      <c r="AB185" s="521"/>
      <c r="AC185" s="53"/>
      <c r="AD185" s="518"/>
      <c r="AE185" s="519"/>
      <c r="AF185" s="520">
        <v>0</v>
      </c>
      <c r="AG185" s="521"/>
      <c r="AH185" s="53"/>
      <c r="AI185" s="518"/>
      <c r="AJ185" s="519"/>
      <c r="AK185" s="520">
        <v>0</v>
      </c>
      <c r="AL185" s="521"/>
      <c r="AM185" s="53"/>
      <c r="AN185" s="518"/>
      <c r="AO185" s="519"/>
      <c r="AP185" s="520">
        <v>0</v>
      </c>
      <c r="AQ185" s="521"/>
      <c r="AR185" s="53"/>
      <c r="AS185" s="518"/>
      <c r="AT185" s="519"/>
      <c r="AU185" s="520">
        <v>0</v>
      </c>
      <c r="AV185" s="521"/>
      <c r="AW185" s="53"/>
      <c r="AX185" s="518"/>
      <c r="AY185" s="519"/>
      <c r="AZ185" s="520">
        <v>0</v>
      </c>
      <c r="BA185" s="521"/>
      <c r="BB185" s="53"/>
      <c r="BC185" s="518"/>
      <c r="BD185" s="519"/>
      <c r="BE185" s="520">
        <v>0</v>
      </c>
      <c r="BF185" s="521"/>
      <c r="BG185" s="53"/>
      <c r="BH185" s="518"/>
      <c r="BI185" s="519"/>
      <c r="BJ185" s="520">
        <v>0</v>
      </c>
      <c r="BK185" s="521"/>
      <c r="BL185" s="53"/>
      <c r="BM185" s="518"/>
      <c r="BN185" s="519"/>
      <c r="BO185" s="520">
        <v>0</v>
      </c>
      <c r="BP185" s="521"/>
      <c r="BQ185" s="53"/>
      <c r="BR185" s="518"/>
      <c r="BS185" s="519"/>
      <c r="BT185" s="520">
        <f>SUM(L185:BO185)</f>
        <v>0</v>
      </c>
      <c r="BU185" s="521"/>
      <c r="BV185" s="53"/>
      <c r="BW185" s="465"/>
    </row>
    <row r="186" spans="1:75" hidden="1" x14ac:dyDescent="0.2">
      <c r="A186" s="377"/>
      <c r="B186" s="377"/>
      <c r="C186" s="377"/>
      <c r="D186" s="465" t="s">
        <v>506</v>
      </c>
      <c r="E186" s="417"/>
      <c r="F186" s="478"/>
      <c r="G186" s="102">
        <v>0</v>
      </c>
      <c r="H186" s="101"/>
      <c r="I186" s="53"/>
      <c r="J186" s="518"/>
      <c r="K186" s="522"/>
      <c r="L186" s="102">
        <v>0</v>
      </c>
      <c r="M186" s="101"/>
      <c r="N186" s="53"/>
      <c r="O186" s="518"/>
      <c r="P186" s="522"/>
      <c r="Q186" s="102">
        <v>0</v>
      </c>
      <c r="R186" s="101"/>
      <c r="S186" s="53"/>
      <c r="T186" s="518"/>
      <c r="U186" s="522"/>
      <c r="V186" s="102">
        <v>0</v>
      </c>
      <c r="W186" s="101"/>
      <c r="X186" s="53"/>
      <c r="Y186" s="518"/>
      <c r="Z186" s="522"/>
      <c r="AA186" s="102">
        <v>0</v>
      </c>
      <c r="AB186" s="101"/>
      <c r="AC186" s="53"/>
      <c r="AD186" s="518"/>
      <c r="AE186" s="522"/>
      <c r="AF186" s="102">
        <v>0</v>
      </c>
      <c r="AG186" s="101"/>
      <c r="AH186" s="53"/>
      <c r="AI186" s="518"/>
      <c r="AJ186" s="522"/>
      <c r="AK186" s="102">
        <v>0</v>
      </c>
      <c r="AL186" s="101"/>
      <c r="AM186" s="53"/>
      <c r="AN186" s="518"/>
      <c r="AO186" s="522"/>
      <c r="AP186" s="102">
        <v>0</v>
      </c>
      <c r="AQ186" s="101"/>
      <c r="AR186" s="53"/>
      <c r="AS186" s="518"/>
      <c r="AT186" s="522"/>
      <c r="AU186" s="102">
        <v>0</v>
      </c>
      <c r="AV186" s="101"/>
      <c r="AW186" s="53"/>
      <c r="AX186" s="518"/>
      <c r="AY186" s="522"/>
      <c r="AZ186" s="102">
        <v>0</v>
      </c>
      <c r="BA186" s="101"/>
      <c r="BB186" s="53"/>
      <c r="BC186" s="518"/>
      <c r="BD186" s="522"/>
      <c r="BE186" s="102">
        <v>0</v>
      </c>
      <c r="BF186" s="101"/>
      <c r="BG186" s="53"/>
      <c r="BH186" s="518"/>
      <c r="BI186" s="522"/>
      <c r="BJ186" s="102">
        <v>0</v>
      </c>
      <c r="BK186" s="101"/>
      <c r="BL186" s="53"/>
      <c r="BM186" s="518"/>
      <c r="BN186" s="522"/>
      <c r="BO186" s="102">
        <v>0</v>
      </c>
      <c r="BP186" s="101"/>
      <c r="BQ186" s="53"/>
      <c r="BR186" s="518"/>
      <c r="BS186" s="522"/>
      <c r="BT186" s="102">
        <f>SUM(L186:BO186)</f>
        <v>0</v>
      </c>
      <c r="BU186" s="101"/>
      <c r="BV186" s="53"/>
      <c r="BW186" s="465"/>
    </row>
    <row r="187" spans="1:75" hidden="1" x14ac:dyDescent="0.2">
      <c r="A187" s="377"/>
      <c r="B187" s="377"/>
      <c r="C187" s="377"/>
      <c r="D187" s="465"/>
      <c r="E187" s="417"/>
      <c r="F187" s="377"/>
      <c r="G187" s="53"/>
      <c r="H187" s="53"/>
      <c r="I187" s="53"/>
      <c r="J187" s="518"/>
      <c r="K187" s="53"/>
      <c r="L187" s="53"/>
      <c r="M187" s="53"/>
      <c r="N187" s="53"/>
      <c r="O187" s="518"/>
      <c r="P187" s="53"/>
      <c r="Q187" s="53"/>
      <c r="R187" s="53"/>
      <c r="S187" s="53"/>
      <c r="T187" s="518"/>
      <c r="U187" s="53"/>
      <c r="V187" s="53"/>
      <c r="W187" s="53"/>
      <c r="X187" s="53"/>
      <c r="Y187" s="518"/>
      <c r="Z187" s="53"/>
      <c r="AA187" s="53"/>
      <c r="AB187" s="53"/>
      <c r="AC187" s="53"/>
      <c r="AD187" s="518"/>
      <c r="AE187" s="53"/>
      <c r="AF187" s="53"/>
      <c r="AG187" s="53"/>
      <c r="AH187" s="53"/>
      <c r="AI187" s="518"/>
      <c r="AJ187" s="53"/>
      <c r="AK187" s="53"/>
      <c r="AL187" s="53"/>
      <c r="AM187" s="53"/>
      <c r="AN187" s="518"/>
      <c r="AO187" s="53"/>
      <c r="AP187" s="53"/>
      <c r="AQ187" s="53"/>
      <c r="AR187" s="53"/>
      <c r="AS187" s="518"/>
      <c r="AT187" s="53"/>
      <c r="AU187" s="53"/>
      <c r="AV187" s="53"/>
      <c r="AW187" s="53"/>
      <c r="AX187" s="518"/>
      <c r="AY187" s="53"/>
      <c r="AZ187" s="53"/>
      <c r="BA187" s="53"/>
      <c r="BB187" s="53"/>
      <c r="BC187" s="518"/>
      <c r="BD187" s="53"/>
      <c r="BE187" s="53"/>
      <c r="BF187" s="53"/>
      <c r="BG187" s="53"/>
      <c r="BH187" s="518"/>
      <c r="BI187" s="53"/>
      <c r="BJ187" s="53"/>
      <c r="BK187" s="53"/>
      <c r="BL187" s="53"/>
      <c r="BM187" s="518"/>
      <c r="BN187" s="53"/>
      <c r="BO187" s="53"/>
      <c r="BP187" s="53"/>
      <c r="BQ187" s="53"/>
      <c r="BR187" s="518"/>
      <c r="BS187" s="53"/>
      <c r="BT187" s="53"/>
      <c r="BU187" s="53"/>
      <c r="BV187" s="53"/>
      <c r="BW187" s="465"/>
    </row>
    <row r="188" spans="1:75" x14ac:dyDescent="0.2">
      <c r="A188" s="377"/>
      <c r="B188" s="377"/>
      <c r="C188" s="377"/>
      <c r="D188" s="534"/>
      <c r="E188" s="535"/>
      <c r="F188" s="448"/>
      <c r="G188" s="111"/>
      <c r="H188" s="111"/>
      <c r="I188" s="111"/>
      <c r="J188" s="536"/>
      <c r="K188" s="111"/>
      <c r="L188" s="111"/>
      <c r="M188" s="111"/>
      <c r="N188" s="111"/>
      <c r="O188" s="536"/>
      <c r="P188" s="111"/>
      <c r="Q188" s="111"/>
      <c r="R188" s="111"/>
      <c r="S188" s="111"/>
      <c r="T188" s="536"/>
      <c r="U188" s="111"/>
      <c r="V188" s="111"/>
      <c r="W188" s="111"/>
      <c r="X188" s="111"/>
      <c r="Y188" s="536"/>
      <c r="Z188" s="111"/>
      <c r="AA188" s="111"/>
      <c r="AB188" s="111"/>
      <c r="AC188" s="111"/>
      <c r="AD188" s="536"/>
      <c r="AE188" s="111"/>
      <c r="AF188" s="111"/>
      <c r="AG188" s="111"/>
      <c r="AH188" s="111"/>
      <c r="AI188" s="536"/>
      <c r="AJ188" s="111"/>
      <c r="AK188" s="111"/>
      <c r="AL188" s="111"/>
      <c r="AM188" s="111"/>
      <c r="AN188" s="536"/>
      <c r="AO188" s="111"/>
      <c r="AP188" s="111"/>
      <c r="AQ188" s="111"/>
      <c r="AR188" s="111"/>
      <c r="AS188" s="536"/>
      <c r="AT188" s="111"/>
      <c r="AU188" s="111"/>
      <c r="AV188" s="111"/>
      <c r="AW188" s="111"/>
      <c r="AX188" s="536"/>
      <c r="AY188" s="111"/>
      <c r="AZ188" s="111"/>
      <c r="BA188" s="111"/>
      <c r="BB188" s="111"/>
      <c r="BC188" s="536"/>
      <c r="BD188" s="111"/>
      <c r="BE188" s="111"/>
      <c r="BF188" s="111"/>
      <c r="BG188" s="111"/>
      <c r="BH188" s="536"/>
      <c r="BI188" s="111"/>
      <c r="BJ188" s="111"/>
      <c r="BK188" s="111"/>
      <c r="BL188" s="111"/>
      <c r="BM188" s="536"/>
      <c r="BN188" s="111"/>
      <c r="BO188" s="111"/>
      <c r="BP188" s="111"/>
      <c r="BQ188" s="111"/>
      <c r="BR188" s="536"/>
      <c r="BS188" s="111"/>
      <c r="BT188" s="111"/>
      <c r="BU188" s="111"/>
      <c r="BV188" s="111"/>
      <c r="BW188" s="465"/>
    </row>
    <row r="189" spans="1:75" x14ac:dyDescent="0.2">
      <c r="A189" s="377"/>
      <c r="B189" s="377"/>
      <c r="C189" s="377"/>
      <c r="D189" s="377"/>
      <c r="E189" s="377"/>
      <c r="F189" s="377"/>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377"/>
    </row>
    <row r="190" spans="1:75" ht="6" customHeight="1" x14ac:dyDescent="0.2">
      <c r="A190" s="377"/>
      <c r="B190" s="377"/>
      <c r="C190" s="377"/>
      <c r="D190" s="377"/>
      <c r="E190" s="377"/>
      <c r="F190" s="377"/>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377"/>
    </row>
    <row r="191" spans="1:75" x14ac:dyDescent="0.2">
      <c r="A191" s="377"/>
      <c r="B191" s="377"/>
      <c r="C191" s="377"/>
      <c r="D191" s="377"/>
      <c r="E191" s="377"/>
      <c r="F191" s="377"/>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row>
    <row r="192" spans="1:75" x14ac:dyDescent="0.2">
      <c r="A192" s="377"/>
      <c r="B192" s="377"/>
      <c r="C192" s="377"/>
      <c r="D192" s="526"/>
      <c r="E192" s="526"/>
      <c r="F192" s="526"/>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row>
    <row r="193" spans="1:74" x14ac:dyDescent="0.2">
      <c r="A193" s="377"/>
      <c r="B193" s="377"/>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c r="AB193" s="377"/>
      <c r="AC193" s="377"/>
      <c r="AD193" s="377"/>
      <c r="AE193" s="377"/>
      <c r="AF193" s="377"/>
      <c r="AG193" s="377"/>
      <c r="AH193" s="377"/>
      <c r="AI193" s="377"/>
      <c r="AJ193" s="377"/>
      <c r="AK193" s="377"/>
      <c r="AL193" s="377"/>
      <c r="AM193" s="377"/>
      <c r="AN193" s="377"/>
      <c r="AO193" s="377"/>
      <c r="AP193" s="377"/>
      <c r="AQ193" s="377"/>
      <c r="AR193" s="377"/>
      <c r="AS193" s="377"/>
      <c r="AT193" s="377"/>
      <c r="AU193" s="377"/>
      <c r="AV193" s="377"/>
      <c r="AW193" s="377"/>
      <c r="AX193" s="377"/>
      <c r="AY193" s="377"/>
      <c r="AZ193" s="377"/>
      <c r="BA193" s="377"/>
      <c r="BB193" s="377"/>
      <c r="BC193" s="377"/>
      <c r="BD193" s="377"/>
      <c r="BE193" s="377"/>
      <c r="BF193" s="377"/>
      <c r="BG193" s="377"/>
      <c r="BH193" s="377"/>
      <c r="BI193" s="377"/>
      <c r="BJ193" s="377"/>
      <c r="BK193" s="377"/>
      <c r="BL193" s="377"/>
      <c r="BM193" s="377"/>
      <c r="BN193" s="377"/>
      <c r="BO193" s="377"/>
      <c r="BP193" s="377"/>
      <c r="BQ193" s="377"/>
      <c r="BR193" s="377"/>
      <c r="BS193" s="377"/>
      <c r="BT193" s="377"/>
      <c r="BU193" s="377"/>
      <c r="BV193" s="377"/>
    </row>
  </sheetData>
  <mergeCells count="1">
    <mergeCell ref="G8:BT8"/>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106"/>
  <sheetViews>
    <sheetView view="pageBreakPreview" topLeftCell="D1" zoomScale="98" zoomScaleNormal="100" zoomScaleSheetLayoutView="98" workbookViewId="0">
      <selection activeCell="CD35" sqref="CD35"/>
    </sheetView>
  </sheetViews>
  <sheetFormatPr defaultColWidth="10" defaultRowHeight="12.75" x14ac:dyDescent="0.2"/>
  <cols>
    <col min="1" max="1" width="1.85546875" style="38" hidden="1" customWidth="1"/>
    <col min="2" max="3" width="0.85546875" style="38" hidden="1" customWidth="1"/>
    <col min="4" max="4" width="64.85546875" style="38" customWidth="1"/>
    <col min="5" max="5" width="7" style="445" customWidth="1"/>
    <col min="6" max="7" width="1" style="38" customWidth="1"/>
    <col min="8" max="8" width="17.85546875" style="38" customWidth="1"/>
    <col min="9" max="10" width="1" style="38" customWidth="1"/>
    <col min="11" max="11" width="0.85546875" style="38" customWidth="1"/>
    <col min="12" max="12" width="1" style="38" customWidth="1"/>
    <col min="13" max="13" width="17.85546875" style="38" customWidth="1"/>
    <col min="14" max="17" width="1" style="38" customWidth="1"/>
    <col min="18" max="18" width="17.85546875" style="38" customWidth="1"/>
    <col min="19" max="22" width="1" style="38" customWidth="1"/>
    <col min="23" max="23" width="17.85546875" style="38" customWidth="1"/>
    <col min="24" max="27" width="1" style="38" customWidth="1"/>
    <col min="28" max="28" width="17.85546875" style="38" customWidth="1"/>
    <col min="29" max="32" width="1" style="38" customWidth="1"/>
    <col min="33" max="33" width="17.85546875" style="38" customWidth="1"/>
    <col min="34" max="37" width="1" style="38" customWidth="1"/>
    <col min="38" max="38" width="17.85546875" style="38" customWidth="1"/>
    <col min="39" max="40" width="1" style="38" customWidth="1"/>
    <col min="41" max="41" width="1.28515625" style="38" hidden="1" customWidth="1"/>
    <col min="42" max="42" width="1" style="38" hidden="1" customWidth="1"/>
    <col min="43" max="43" width="17.85546875" style="38" hidden="1" customWidth="1"/>
    <col min="44" max="47" width="1" style="38" hidden="1" customWidth="1"/>
    <col min="48" max="48" width="14.7109375" style="38" hidden="1" customWidth="1"/>
    <col min="49" max="52" width="1" style="38" hidden="1" customWidth="1"/>
    <col min="53" max="53" width="17.85546875" style="38" hidden="1" customWidth="1"/>
    <col min="54" max="57" width="1" style="38" hidden="1" customWidth="1"/>
    <col min="58" max="58" width="17.85546875" style="38" hidden="1" customWidth="1"/>
    <col min="59" max="62" width="1" style="38" hidden="1" customWidth="1"/>
    <col min="63" max="63" width="17.85546875" style="38" hidden="1" customWidth="1"/>
    <col min="64" max="67" width="1" style="38" hidden="1" customWidth="1"/>
    <col min="68" max="68" width="17.85546875" style="38" hidden="1" customWidth="1"/>
    <col min="69" max="70" width="1" style="38" hidden="1" customWidth="1"/>
    <col min="71" max="72" width="1" style="38" customWidth="1"/>
    <col min="73" max="73" width="17.85546875" style="38" customWidth="1"/>
    <col min="74" max="76" width="1" style="38" customWidth="1"/>
    <col min="77" max="77" width="1.85546875" style="38" customWidth="1"/>
    <col min="78" max="78" width="11.28515625" style="38" bestFit="1" customWidth="1"/>
    <col min="79" max="79" width="10" style="38" customWidth="1"/>
    <col min="80" max="80" width="10.42578125" style="38" bestFit="1" customWidth="1"/>
    <col min="81" max="81" width="10" style="38" customWidth="1"/>
    <col min="82" max="83" width="10" style="38"/>
    <col min="84" max="84" width="13.42578125" style="38" bestFit="1" customWidth="1"/>
    <col min="85" max="186" width="10" style="38"/>
    <col min="187" max="189" width="0" style="38" hidden="1" customWidth="1"/>
    <col min="190" max="190" width="64.85546875" style="38" customWidth="1"/>
    <col min="191" max="191" width="7" style="38" customWidth="1"/>
    <col min="192" max="193" width="1" style="38" customWidth="1"/>
    <col min="194" max="194" width="15.140625" style="38" customWidth="1"/>
    <col min="195" max="196" width="1" style="38" customWidth="1"/>
    <col min="197" max="221" width="0" style="38" hidden="1" customWidth="1"/>
    <col min="222" max="223" width="1" style="38" customWidth="1"/>
    <col min="224" max="224" width="17.85546875" style="38" customWidth="1"/>
    <col min="225" max="226" width="1" style="38" customWidth="1"/>
    <col min="227" max="256" width="0" style="38" hidden="1" customWidth="1"/>
    <col min="257" max="258" width="1" style="38" customWidth="1"/>
    <col min="259" max="259" width="16.5703125" style="38" customWidth="1"/>
    <col min="260" max="263" width="1" style="38" customWidth="1"/>
    <col min="264" max="264" width="14.7109375" style="38" customWidth="1"/>
    <col min="265" max="266" width="1" style="38" customWidth="1"/>
    <col min="267" max="291" width="0" style="38" hidden="1" customWidth="1"/>
    <col min="292" max="293" width="1" style="38" customWidth="1"/>
    <col min="294" max="294" width="17.85546875" style="38" customWidth="1"/>
    <col min="295" max="296" width="1" style="38" customWidth="1"/>
    <col min="297" max="326" width="0" style="38" hidden="1" customWidth="1"/>
    <col min="327" max="328" width="1" style="38" customWidth="1"/>
    <col min="329" max="329" width="17.85546875" style="38" customWidth="1"/>
    <col min="330" max="332" width="1" style="38" customWidth="1"/>
    <col min="333" max="333" width="1.85546875" style="38" customWidth="1"/>
    <col min="334" max="334" width="11.28515625" style="38" bestFit="1" customWidth="1"/>
    <col min="335" max="335" width="10" style="38" customWidth="1"/>
    <col min="336" max="336" width="10.42578125" style="38" bestFit="1" customWidth="1"/>
    <col min="337" max="337" width="10" style="38" customWidth="1"/>
    <col min="338" max="339" width="10" style="38"/>
    <col min="340" max="340" width="13.42578125" style="38" bestFit="1" customWidth="1"/>
    <col min="341" max="442" width="10" style="38"/>
    <col min="443" max="445" width="0" style="38" hidden="1" customWidth="1"/>
    <col min="446" max="446" width="64.85546875" style="38" customWidth="1"/>
    <col min="447" max="447" width="7" style="38" customWidth="1"/>
    <col min="448" max="449" width="1" style="38" customWidth="1"/>
    <col min="450" max="450" width="15.140625" style="38" customWidth="1"/>
    <col min="451" max="452" width="1" style="38" customWidth="1"/>
    <col min="453" max="477" width="0" style="38" hidden="1" customWidth="1"/>
    <col min="478" max="479" width="1" style="38" customWidth="1"/>
    <col min="480" max="480" width="17.85546875" style="38" customWidth="1"/>
    <col min="481" max="482" width="1" style="38" customWidth="1"/>
    <col min="483" max="512" width="0" style="38" hidden="1" customWidth="1"/>
    <col min="513" max="514" width="1" style="38" customWidth="1"/>
    <col min="515" max="515" width="16.5703125" style="38" customWidth="1"/>
    <col min="516" max="519" width="1" style="38" customWidth="1"/>
    <col min="520" max="520" width="14.7109375" style="38" customWidth="1"/>
    <col min="521" max="522" width="1" style="38" customWidth="1"/>
    <col min="523" max="547" width="0" style="38" hidden="1" customWidth="1"/>
    <col min="548" max="549" width="1" style="38" customWidth="1"/>
    <col min="550" max="550" width="17.85546875" style="38" customWidth="1"/>
    <col min="551" max="552" width="1" style="38" customWidth="1"/>
    <col min="553" max="582" width="0" style="38" hidden="1" customWidth="1"/>
    <col min="583" max="584" width="1" style="38" customWidth="1"/>
    <col min="585" max="585" width="17.85546875" style="38" customWidth="1"/>
    <col min="586" max="588" width="1" style="38" customWidth="1"/>
    <col min="589" max="589" width="1.85546875" style="38" customWidth="1"/>
    <col min="590" max="590" width="11.28515625" style="38" bestFit="1" customWidth="1"/>
    <col min="591" max="591" width="10" style="38" customWidth="1"/>
    <col min="592" max="592" width="10.42578125" style="38" bestFit="1" customWidth="1"/>
    <col min="593" max="593" width="10" style="38" customWidth="1"/>
    <col min="594" max="595" width="10" style="38"/>
    <col min="596" max="596" width="13.42578125" style="38" bestFit="1" customWidth="1"/>
    <col min="597" max="698" width="10" style="38"/>
    <col min="699" max="701" width="0" style="38" hidden="1" customWidth="1"/>
    <col min="702" max="702" width="64.85546875" style="38" customWidth="1"/>
    <col min="703" max="703" width="7" style="38" customWidth="1"/>
    <col min="704" max="705" width="1" style="38" customWidth="1"/>
    <col min="706" max="706" width="15.140625" style="38" customWidth="1"/>
    <col min="707" max="708" width="1" style="38" customWidth="1"/>
    <col min="709" max="733" width="0" style="38" hidden="1" customWidth="1"/>
    <col min="734" max="735" width="1" style="38" customWidth="1"/>
    <col min="736" max="736" width="17.85546875" style="38" customWidth="1"/>
    <col min="737" max="738" width="1" style="38" customWidth="1"/>
    <col min="739" max="768" width="0" style="38" hidden="1" customWidth="1"/>
    <col min="769" max="770" width="1" style="38" customWidth="1"/>
    <col min="771" max="771" width="16.5703125" style="38" customWidth="1"/>
    <col min="772" max="775" width="1" style="38" customWidth="1"/>
    <col min="776" max="776" width="14.7109375" style="38" customWidth="1"/>
    <col min="777" max="778" width="1" style="38" customWidth="1"/>
    <col min="779" max="803" width="0" style="38" hidden="1" customWidth="1"/>
    <col min="804" max="805" width="1" style="38" customWidth="1"/>
    <col min="806" max="806" width="17.85546875" style="38" customWidth="1"/>
    <col min="807" max="808" width="1" style="38" customWidth="1"/>
    <col min="809" max="838" width="0" style="38" hidden="1" customWidth="1"/>
    <col min="839" max="840" width="1" style="38" customWidth="1"/>
    <col min="841" max="841" width="17.85546875" style="38" customWidth="1"/>
    <col min="842" max="844" width="1" style="38" customWidth="1"/>
    <col min="845" max="845" width="1.85546875" style="38" customWidth="1"/>
    <col min="846" max="846" width="11.28515625" style="38" bestFit="1" customWidth="1"/>
    <col min="847" max="847" width="10" style="38" customWidth="1"/>
    <col min="848" max="848" width="10.42578125" style="38" bestFit="1" customWidth="1"/>
    <col min="849" max="849" width="10" style="38" customWidth="1"/>
    <col min="850" max="851" width="10" style="38"/>
    <col min="852" max="852" width="13.42578125" style="38" bestFit="1" customWidth="1"/>
    <col min="853" max="954" width="10" style="38"/>
    <col min="955" max="957" width="0" style="38" hidden="1" customWidth="1"/>
    <col min="958" max="958" width="64.85546875" style="38" customWidth="1"/>
    <col min="959" max="959" width="7" style="38" customWidth="1"/>
    <col min="960" max="961" width="1" style="38" customWidth="1"/>
    <col min="962" max="962" width="15.140625" style="38" customWidth="1"/>
    <col min="963" max="964" width="1" style="38" customWidth="1"/>
    <col min="965" max="989" width="0" style="38" hidden="1" customWidth="1"/>
    <col min="990" max="991" width="1" style="38" customWidth="1"/>
    <col min="992" max="992" width="17.85546875" style="38" customWidth="1"/>
    <col min="993" max="994" width="1" style="38" customWidth="1"/>
    <col min="995" max="1024" width="0" style="38" hidden="1" customWidth="1"/>
    <col min="1025" max="1026" width="1" style="38" customWidth="1"/>
    <col min="1027" max="1027" width="16.5703125" style="38" customWidth="1"/>
    <col min="1028" max="1031" width="1" style="38" customWidth="1"/>
    <col min="1032" max="1032" width="14.7109375" style="38" customWidth="1"/>
    <col min="1033" max="1034" width="1" style="38" customWidth="1"/>
    <col min="1035" max="1059" width="0" style="38" hidden="1" customWidth="1"/>
    <col min="1060" max="1061" width="1" style="38" customWidth="1"/>
    <col min="1062" max="1062" width="17.85546875" style="38" customWidth="1"/>
    <col min="1063" max="1064" width="1" style="38" customWidth="1"/>
    <col min="1065" max="1094" width="0" style="38" hidden="1" customWidth="1"/>
    <col min="1095" max="1096" width="1" style="38" customWidth="1"/>
    <col min="1097" max="1097" width="17.85546875" style="38" customWidth="1"/>
    <col min="1098" max="1100" width="1" style="38" customWidth="1"/>
    <col min="1101" max="1101" width="1.85546875" style="38" customWidth="1"/>
    <col min="1102" max="1102" width="11.28515625" style="38" bestFit="1" customWidth="1"/>
    <col min="1103" max="1103" width="10" style="38" customWidth="1"/>
    <col min="1104" max="1104" width="10.42578125" style="38" bestFit="1" customWidth="1"/>
    <col min="1105" max="1105" width="10" style="38" customWidth="1"/>
    <col min="1106" max="1107" width="10" style="38"/>
    <col min="1108" max="1108" width="13.42578125" style="38" bestFit="1" customWidth="1"/>
    <col min="1109" max="1210" width="10" style="38"/>
    <col min="1211" max="1213" width="0" style="38" hidden="1" customWidth="1"/>
    <col min="1214" max="1214" width="64.85546875" style="38" customWidth="1"/>
    <col min="1215" max="1215" width="7" style="38" customWidth="1"/>
    <col min="1216" max="1217" width="1" style="38" customWidth="1"/>
    <col min="1218" max="1218" width="15.140625" style="38" customWidth="1"/>
    <col min="1219" max="1220" width="1" style="38" customWidth="1"/>
    <col min="1221" max="1245" width="0" style="38" hidden="1" customWidth="1"/>
    <col min="1246" max="1247" width="1" style="38" customWidth="1"/>
    <col min="1248" max="1248" width="17.85546875" style="38" customWidth="1"/>
    <col min="1249" max="1250" width="1" style="38" customWidth="1"/>
    <col min="1251" max="1280" width="0" style="38" hidden="1" customWidth="1"/>
    <col min="1281" max="1282" width="1" style="38" customWidth="1"/>
    <col min="1283" max="1283" width="16.5703125" style="38" customWidth="1"/>
    <col min="1284" max="1287" width="1" style="38" customWidth="1"/>
    <col min="1288" max="1288" width="14.7109375" style="38" customWidth="1"/>
    <col min="1289" max="1290" width="1" style="38" customWidth="1"/>
    <col min="1291" max="1315" width="0" style="38" hidden="1" customWidth="1"/>
    <col min="1316" max="1317" width="1" style="38" customWidth="1"/>
    <col min="1318" max="1318" width="17.85546875" style="38" customWidth="1"/>
    <col min="1319" max="1320" width="1" style="38" customWidth="1"/>
    <col min="1321" max="1350" width="0" style="38" hidden="1" customWidth="1"/>
    <col min="1351" max="1352" width="1" style="38" customWidth="1"/>
    <col min="1353" max="1353" width="17.85546875" style="38" customWidth="1"/>
    <col min="1354" max="1356" width="1" style="38" customWidth="1"/>
    <col min="1357" max="1357" width="1.85546875" style="38" customWidth="1"/>
    <col min="1358" max="1358" width="11.28515625" style="38" bestFit="1" customWidth="1"/>
    <col min="1359" max="1359" width="10" style="38" customWidth="1"/>
    <col min="1360" max="1360" width="10.42578125" style="38" bestFit="1" customWidth="1"/>
    <col min="1361" max="1361" width="10" style="38" customWidth="1"/>
    <col min="1362" max="1363" width="10" style="38"/>
    <col min="1364" max="1364" width="13.42578125" style="38" bestFit="1" customWidth="1"/>
    <col min="1365" max="1466" width="10" style="38"/>
    <col min="1467" max="1469" width="0" style="38" hidden="1" customWidth="1"/>
    <col min="1470" max="1470" width="64.85546875" style="38" customWidth="1"/>
    <col min="1471" max="1471" width="7" style="38" customWidth="1"/>
    <col min="1472" max="1473" width="1" style="38" customWidth="1"/>
    <col min="1474" max="1474" width="15.140625" style="38" customWidth="1"/>
    <col min="1475" max="1476" width="1" style="38" customWidth="1"/>
    <col min="1477" max="1501" width="0" style="38" hidden="1" customWidth="1"/>
    <col min="1502" max="1503" width="1" style="38" customWidth="1"/>
    <col min="1504" max="1504" width="17.85546875" style="38" customWidth="1"/>
    <col min="1505" max="1506" width="1" style="38" customWidth="1"/>
    <col min="1507" max="1536" width="0" style="38" hidden="1" customWidth="1"/>
    <col min="1537" max="1538" width="1" style="38" customWidth="1"/>
    <col min="1539" max="1539" width="16.5703125" style="38" customWidth="1"/>
    <col min="1540" max="1543" width="1" style="38" customWidth="1"/>
    <col min="1544" max="1544" width="14.7109375" style="38" customWidth="1"/>
    <col min="1545" max="1546" width="1" style="38" customWidth="1"/>
    <col min="1547" max="1571" width="0" style="38" hidden="1" customWidth="1"/>
    <col min="1572" max="1573" width="1" style="38" customWidth="1"/>
    <col min="1574" max="1574" width="17.85546875" style="38" customWidth="1"/>
    <col min="1575" max="1576" width="1" style="38" customWidth="1"/>
    <col min="1577" max="1606" width="0" style="38" hidden="1" customWidth="1"/>
    <col min="1607" max="1608" width="1" style="38" customWidth="1"/>
    <col min="1609" max="1609" width="17.85546875" style="38" customWidth="1"/>
    <col min="1610" max="1612" width="1" style="38" customWidth="1"/>
    <col min="1613" max="1613" width="1.85546875" style="38" customWidth="1"/>
    <col min="1614" max="1614" width="11.28515625" style="38" bestFit="1" customWidth="1"/>
    <col min="1615" max="1615" width="10" style="38" customWidth="1"/>
    <col min="1616" max="1616" width="10.42578125" style="38" bestFit="1" customWidth="1"/>
    <col min="1617" max="1617" width="10" style="38" customWidth="1"/>
    <col min="1618" max="1619" width="10" style="38"/>
    <col min="1620" max="1620" width="13.42578125" style="38" bestFit="1" customWidth="1"/>
    <col min="1621" max="1722" width="10" style="38"/>
    <col min="1723" max="1725" width="0" style="38" hidden="1" customWidth="1"/>
    <col min="1726" max="1726" width="64.85546875" style="38" customWidth="1"/>
    <col min="1727" max="1727" width="7" style="38" customWidth="1"/>
    <col min="1728" max="1729" width="1" style="38" customWidth="1"/>
    <col min="1730" max="1730" width="15.140625" style="38" customWidth="1"/>
    <col min="1731" max="1732" width="1" style="38" customWidth="1"/>
    <col min="1733" max="1757" width="0" style="38" hidden="1" customWidth="1"/>
    <col min="1758" max="1759" width="1" style="38" customWidth="1"/>
    <col min="1760" max="1760" width="17.85546875" style="38" customWidth="1"/>
    <col min="1761" max="1762" width="1" style="38" customWidth="1"/>
    <col min="1763" max="1792" width="0" style="38" hidden="1" customWidth="1"/>
    <col min="1793" max="1794" width="1" style="38" customWidth="1"/>
    <col min="1795" max="1795" width="16.5703125" style="38" customWidth="1"/>
    <col min="1796" max="1799" width="1" style="38" customWidth="1"/>
    <col min="1800" max="1800" width="14.7109375" style="38" customWidth="1"/>
    <col min="1801" max="1802" width="1" style="38" customWidth="1"/>
    <col min="1803" max="1827" width="0" style="38" hidden="1" customWidth="1"/>
    <col min="1828" max="1829" width="1" style="38" customWidth="1"/>
    <col min="1830" max="1830" width="17.85546875" style="38" customWidth="1"/>
    <col min="1831" max="1832" width="1" style="38" customWidth="1"/>
    <col min="1833" max="1862" width="0" style="38" hidden="1" customWidth="1"/>
    <col min="1863" max="1864" width="1" style="38" customWidth="1"/>
    <col min="1865" max="1865" width="17.85546875" style="38" customWidth="1"/>
    <col min="1866" max="1868" width="1" style="38" customWidth="1"/>
    <col min="1869" max="1869" width="1.85546875" style="38" customWidth="1"/>
    <col min="1870" max="1870" width="11.28515625" style="38" bestFit="1" customWidth="1"/>
    <col min="1871" max="1871" width="10" style="38" customWidth="1"/>
    <col min="1872" max="1872" width="10.42578125" style="38" bestFit="1" customWidth="1"/>
    <col min="1873" max="1873" width="10" style="38" customWidth="1"/>
    <col min="1874" max="1875" width="10" style="38"/>
    <col min="1876" max="1876" width="13.42578125" style="38" bestFit="1" customWidth="1"/>
    <col min="1877" max="1978" width="10" style="38"/>
    <col min="1979" max="1981" width="0" style="38" hidden="1" customWidth="1"/>
    <col min="1982" max="1982" width="64.85546875" style="38" customWidth="1"/>
    <col min="1983" max="1983" width="7" style="38" customWidth="1"/>
    <col min="1984" max="1985" width="1" style="38" customWidth="1"/>
    <col min="1986" max="1986" width="15.140625" style="38" customWidth="1"/>
    <col min="1987" max="1988" width="1" style="38" customWidth="1"/>
    <col min="1989" max="2013" width="0" style="38" hidden="1" customWidth="1"/>
    <col min="2014" max="2015" width="1" style="38" customWidth="1"/>
    <col min="2016" max="2016" width="17.85546875" style="38" customWidth="1"/>
    <col min="2017" max="2018" width="1" style="38" customWidth="1"/>
    <col min="2019" max="2048" width="0" style="38" hidden="1" customWidth="1"/>
    <col min="2049" max="2050" width="1" style="38" customWidth="1"/>
    <col min="2051" max="2051" width="16.5703125" style="38" customWidth="1"/>
    <col min="2052" max="2055" width="1" style="38" customWidth="1"/>
    <col min="2056" max="2056" width="14.7109375" style="38" customWidth="1"/>
    <col min="2057" max="2058" width="1" style="38" customWidth="1"/>
    <col min="2059" max="2083" width="0" style="38" hidden="1" customWidth="1"/>
    <col min="2084" max="2085" width="1" style="38" customWidth="1"/>
    <col min="2086" max="2086" width="17.85546875" style="38" customWidth="1"/>
    <col min="2087" max="2088" width="1" style="38" customWidth="1"/>
    <col min="2089" max="2118" width="0" style="38" hidden="1" customWidth="1"/>
    <col min="2119" max="2120" width="1" style="38" customWidth="1"/>
    <col min="2121" max="2121" width="17.85546875" style="38" customWidth="1"/>
    <col min="2122" max="2124" width="1" style="38" customWidth="1"/>
    <col min="2125" max="2125" width="1.85546875" style="38" customWidth="1"/>
    <col min="2126" max="2126" width="11.28515625" style="38" bestFit="1" customWidth="1"/>
    <col min="2127" max="2127" width="10" style="38" customWidth="1"/>
    <col min="2128" max="2128" width="10.42578125" style="38" bestFit="1" customWidth="1"/>
    <col min="2129" max="2129" width="10" style="38" customWidth="1"/>
    <col min="2130" max="2131" width="10" style="38"/>
    <col min="2132" max="2132" width="13.42578125" style="38" bestFit="1" customWidth="1"/>
    <col min="2133" max="2234" width="10" style="38"/>
    <col min="2235" max="2237" width="0" style="38" hidden="1" customWidth="1"/>
    <col min="2238" max="2238" width="64.85546875" style="38" customWidth="1"/>
    <col min="2239" max="2239" width="7" style="38" customWidth="1"/>
    <col min="2240" max="2241" width="1" style="38" customWidth="1"/>
    <col min="2242" max="2242" width="15.140625" style="38" customWidth="1"/>
    <col min="2243" max="2244" width="1" style="38" customWidth="1"/>
    <col min="2245" max="2269" width="0" style="38" hidden="1" customWidth="1"/>
    <col min="2270" max="2271" width="1" style="38" customWidth="1"/>
    <col min="2272" max="2272" width="17.85546875" style="38" customWidth="1"/>
    <col min="2273" max="2274" width="1" style="38" customWidth="1"/>
    <col min="2275" max="2304" width="0" style="38" hidden="1" customWidth="1"/>
    <col min="2305" max="2306" width="1" style="38" customWidth="1"/>
    <col min="2307" max="2307" width="16.5703125" style="38" customWidth="1"/>
    <col min="2308" max="2311" width="1" style="38" customWidth="1"/>
    <col min="2312" max="2312" width="14.7109375" style="38" customWidth="1"/>
    <col min="2313" max="2314" width="1" style="38" customWidth="1"/>
    <col min="2315" max="2339" width="0" style="38" hidden="1" customWidth="1"/>
    <col min="2340" max="2341" width="1" style="38" customWidth="1"/>
    <col min="2342" max="2342" width="17.85546875" style="38" customWidth="1"/>
    <col min="2343" max="2344" width="1" style="38" customWidth="1"/>
    <col min="2345" max="2374" width="0" style="38" hidden="1" customWidth="1"/>
    <col min="2375" max="2376" width="1" style="38" customWidth="1"/>
    <col min="2377" max="2377" width="17.85546875" style="38" customWidth="1"/>
    <col min="2378" max="2380" width="1" style="38" customWidth="1"/>
    <col min="2381" max="2381" width="1.85546875" style="38" customWidth="1"/>
    <col min="2382" max="2382" width="11.28515625" style="38" bestFit="1" customWidth="1"/>
    <col min="2383" max="2383" width="10" style="38" customWidth="1"/>
    <col min="2384" max="2384" width="10.42578125" style="38" bestFit="1" customWidth="1"/>
    <col min="2385" max="2385" width="10" style="38" customWidth="1"/>
    <col min="2386" max="2387" width="10" style="38"/>
    <col min="2388" max="2388" width="13.42578125" style="38" bestFit="1" customWidth="1"/>
    <col min="2389" max="2490" width="10" style="38"/>
    <col min="2491" max="2493" width="0" style="38" hidden="1" customWidth="1"/>
    <col min="2494" max="2494" width="64.85546875" style="38" customWidth="1"/>
    <col min="2495" max="2495" width="7" style="38" customWidth="1"/>
    <col min="2496" max="2497" width="1" style="38" customWidth="1"/>
    <col min="2498" max="2498" width="15.140625" style="38" customWidth="1"/>
    <col min="2499" max="2500" width="1" style="38" customWidth="1"/>
    <col min="2501" max="2525" width="0" style="38" hidden="1" customWidth="1"/>
    <col min="2526" max="2527" width="1" style="38" customWidth="1"/>
    <col min="2528" max="2528" width="17.85546875" style="38" customWidth="1"/>
    <col min="2529" max="2530" width="1" style="38" customWidth="1"/>
    <col min="2531" max="2560" width="0" style="38" hidden="1" customWidth="1"/>
    <col min="2561" max="2562" width="1" style="38" customWidth="1"/>
    <col min="2563" max="2563" width="16.5703125" style="38" customWidth="1"/>
    <col min="2564" max="2567" width="1" style="38" customWidth="1"/>
    <col min="2568" max="2568" width="14.7109375" style="38" customWidth="1"/>
    <col min="2569" max="2570" width="1" style="38" customWidth="1"/>
    <col min="2571" max="2595" width="0" style="38" hidden="1" customWidth="1"/>
    <col min="2596" max="2597" width="1" style="38" customWidth="1"/>
    <col min="2598" max="2598" width="17.85546875" style="38" customWidth="1"/>
    <col min="2599" max="2600" width="1" style="38" customWidth="1"/>
    <col min="2601" max="2630" width="0" style="38" hidden="1" customWidth="1"/>
    <col min="2631" max="2632" width="1" style="38" customWidth="1"/>
    <col min="2633" max="2633" width="17.85546875" style="38" customWidth="1"/>
    <col min="2634" max="2636" width="1" style="38" customWidth="1"/>
    <col min="2637" max="2637" width="1.85546875" style="38" customWidth="1"/>
    <col min="2638" max="2638" width="11.28515625" style="38" bestFit="1" customWidth="1"/>
    <col min="2639" max="2639" width="10" style="38" customWidth="1"/>
    <col min="2640" max="2640" width="10.42578125" style="38" bestFit="1" customWidth="1"/>
    <col min="2641" max="2641" width="10" style="38" customWidth="1"/>
    <col min="2642" max="2643" width="10" style="38"/>
    <col min="2644" max="2644" width="13.42578125" style="38" bestFit="1" customWidth="1"/>
    <col min="2645" max="2746" width="10" style="38"/>
    <col min="2747" max="2749" width="0" style="38" hidden="1" customWidth="1"/>
    <col min="2750" max="2750" width="64.85546875" style="38" customWidth="1"/>
    <col min="2751" max="2751" width="7" style="38" customWidth="1"/>
    <col min="2752" max="2753" width="1" style="38" customWidth="1"/>
    <col min="2754" max="2754" width="15.140625" style="38" customWidth="1"/>
    <col min="2755" max="2756" width="1" style="38" customWidth="1"/>
    <col min="2757" max="2781" width="0" style="38" hidden="1" customWidth="1"/>
    <col min="2782" max="2783" width="1" style="38" customWidth="1"/>
    <col min="2784" max="2784" width="17.85546875" style="38" customWidth="1"/>
    <col min="2785" max="2786" width="1" style="38" customWidth="1"/>
    <col min="2787" max="2816" width="0" style="38" hidden="1" customWidth="1"/>
    <col min="2817" max="2818" width="1" style="38" customWidth="1"/>
    <col min="2819" max="2819" width="16.5703125" style="38" customWidth="1"/>
    <col min="2820" max="2823" width="1" style="38" customWidth="1"/>
    <col min="2824" max="2824" width="14.7109375" style="38" customWidth="1"/>
    <col min="2825" max="2826" width="1" style="38" customWidth="1"/>
    <col min="2827" max="2851" width="0" style="38" hidden="1" customWidth="1"/>
    <col min="2852" max="2853" width="1" style="38" customWidth="1"/>
    <col min="2854" max="2854" width="17.85546875" style="38" customWidth="1"/>
    <col min="2855" max="2856" width="1" style="38" customWidth="1"/>
    <col min="2857" max="2886" width="0" style="38" hidden="1" customWidth="1"/>
    <col min="2887" max="2888" width="1" style="38" customWidth="1"/>
    <col min="2889" max="2889" width="17.85546875" style="38" customWidth="1"/>
    <col min="2890" max="2892" width="1" style="38" customWidth="1"/>
    <col min="2893" max="2893" width="1.85546875" style="38" customWidth="1"/>
    <col min="2894" max="2894" width="11.28515625" style="38" bestFit="1" customWidth="1"/>
    <col min="2895" max="2895" width="10" style="38" customWidth="1"/>
    <col min="2896" max="2896" width="10.42578125" style="38" bestFit="1" customWidth="1"/>
    <col min="2897" max="2897" width="10" style="38" customWidth="1"/>
    <col min="2898" max="2899" width="10" style="38"/>
    <col min="2900" max="2900" width="13.42578125" style="38" bestFit="1" customWidth="1"/>
    <col min="2901" max="3002" width="10" style="38"/>
    <col min="3003" max="3005" width="0" style="38" hidden="1" customWidth="1"/>
    <col min="3006" max="3006" width="64.85546875" style="38" customWidth="1"/>
    <col min="3007" max="3007" width="7" style="38" customWidth="1"/>
    <col min="3008" max="3009" width="1" style="38" customWidth="1"/>
    <col min="3010" max="3010" width="15.140625" style="38" customWidth="1"/>
    <col min="3011" max="3012" width="1" style="38" customWidth="1"/>
    <col min="3013" max="3037" width="0" style="38" hidden="1" customWidth="1"/>
    <col min="3038" max="3039" width="1" style="38" customWidth="1"/>
    <col min="3040" max="3040" width="17.85546875" style="38" customWidth="1"/>
    <col min="3041" max="3042" width="1" style="38" customWidth="1"/>
    <col min="3043" max="3072" width="0" style="38" hidden="1" customWidth="1"/>
    <col min="3073" max="3074" width="1" style="38" customWidth="1"/>
    <col min="3075" max="3075" width="16.5703125" style="38" customWidth="1"/>
    <col min="3076" max="3079" width="1" style="38" customWidth="1"/>
    <col min="3080" max="3080" width="14.7109375" style="38" customWidth="1"/>
    <col min="3081" max="3082" width="1" style="38" customWidth="1"/>
    <col min="3083" max="3107" width="0" style="38" hidden="1" customWidth="1"/>
    <col min="3108" max="3109" width="1" style="38" customWidth="1"/>
    <col min="3110" max="3110" width="17.85546875" style="38" customWidth="1"/>
    <col min="3111" max="3112" width="1" style="38" customWidth="1"/>
    <col min="3113" max="3142" width="0" style="38" hidden="1" customWidth="1"/>
    <col min="3143" max="3144" width="1" style="38" customWidth="1"/>
    <col min="3145" max="3145" width="17.85546875" style="38" customWidth="1"/>
    <col min="3146" max="3148" width="1" style="38" customWidth="1"/>
    <col min="3149" max="3149" width="1.85546875" style="38" customWidth="1"/>
    <col min="3150" max="3150" width="11.28515625" style="38" bestFit="1" customWidth="1"/>
    <col min="3151" max="3151" width="10" style="38" customWidth="1"/>
    <col min="3152" max="3152" width="10.42578125" style="38" bestFit="1" customWidth="1"/>
    <col min="3153" max="3153" width="10" style="38" customWidth="1"/>
    <col min="3154" max="3155" width="10" style="38"/>
    <col min="3156" max="3156" width="13.42578125" style="38" bestFit="1" customWidth="1"/>
    <col min="3157" max="3258" width="10" style="38"/>
    <col min="3259" max="3261" width="0" style="38" hidden="1" customWidth="1"/>
    <col min="3262" max="3262" width="64.85546875" style="38" customWidth="1"/>
    <col min="3263" max="3263" width="7" style="38" customWidth="1"/>
    <col min="3264" max="3265" width="1" style="38" customWidth="1"/>
    <col min="3266" max="3266" width="15.140625" style="38" customWidth="1"/>
    <col min="3267" max="3268" width="1" style="38" customWidth="1"/>
    <col min="3269" max="3293" width="0" style="38" hidden="1" customWidth="1"/>
    <col min="3294" max="3295" width="1" style="38" customWidth="1"/>
    <col min="3296" max="3296" width="17.85546875" style="38" customWidth="1"/>
    <col min="3297" max="3298" width="1" style="38" customWidth="1"/>
    <col min="3299" max="3328" width="0" style="38" hidden="1" customWidth="1"/>
    <col min="3329" max="3330" width="1" style="38" customWidth="1"/>
    <col min="3331" max="3331" width="16.5703125" style="38" customWidth="1"/>
    <col min="3332" max="3335" width="1" style="38" customWidth="1"/>
    <col min="3336" max="3336" width="14.7109375" style="38" customWidth="1"/>
    <col min="3337" max="3338" width="1" style="38" customWidth="1"/>
    <col min="3339" max="3363" width="0" style="38" hidden="1" customWidth="1"/>
    <col min="3364" max="3365" width="1" style="38" customWidth="1"/>
    <col min="3366" max="3366" width="17.85546875" style="38" customWidth="1"/>
    <col min="3367" max="3368" width="1" style="38" customWidth="1"/>
    <col min="3369" max="3398" width="0" style="38" hidden="1" customWidth="1"/>
    <col min="3399" max="3400" width="1" style="38" customWidth="1"/>
    <col min="3401" max="3401" width="17.85546875" style="38" customWidth="1"/>
    <col min="3402" max="3404" width="1" style="38" customWidth="1"/>
    <col min="3405" max="3405" width="1.85546875" style="38" customWidth="1"/>
    <col min="3406" max="3406" width="11.28515625" style="38" bestFit="1" customWidth="1"/>
    <col min="3407" max="3407" width="10" style="38" customWidth="1"/>
    <col min="3408" max="3408" width="10.42578125" style="38" bestFit="1" customWidth="1"/>
    <col min="3409" max="3409" width="10" style="38" customWidth="1"/>
    <col min="3410" max="3411" width="10" style="38"/>
    <col min="3412" max="3412" width="13.42578125" style="38" bestFit="1" customWidth="1"/>
    <col min="3413" max="3514" width="10" style="38"/>
    <col min="3515" max="3517" width="0" style="38" hidden="1" customWidth="1"/>
    <col min="3518" max="3518" width="64.85546875" style="38" customWidth="1"/>
    <col min="3519" max="3519" width="7" style="38" customWidth="1"/>
    <col min="3520" max="3521" width="1" style="38" customWidth="1"/>
    <col min="3522" max="3522" width="15.140625" style="38" customWidth="1"/>
    <col min="3523" max="3524" width="1" style="38" customWidth="1"/>
    <col min="3525" max="3549" width="0" style="38" hidden="1" customWidth="1"/>
    <col min="3550" max="3551" width="1" style="38" customWidth="1"/>
    <col min="3552" max="3552" width="17.85546875" style="38" customWidth="1"/>
    <col min="3553" max="3554" width="1" style="38" customWidth="1"/>
    <col min="3555" max="3584" width="0" style="38" hidden="1" customWidth="1"/>
    <col min="3585" max="3586" width="1" style="38" customWidth="1"/>
    <col min="3587" max="3587" width="16.5703125" style="38" customWidth="1"/>
    <col min="3588" max="3591" width="1" style="38" customWidth="1"/>
    <col min="3592" max="3592" width="14.7109375" style="38" customWidth="1"/>
    <col min="3593" max="3594" width="1" style="38" customWidth="1"/>
    <col min="3595" max="3619" width="0" style="38" hidden="1" customWidth="1"/>
    <col min="3620" max="3621" width="1" style="38" customWidth="1"/>
    <col min="3622" max="3622" width="17.85546875" style="38" customWidth="1"/>
    <col min="3623" max="3624" width="1" style="38" customWidth="1"/>
    <col min="3625" max="3654" width="0" style="38" hidden="1" customWidth="1"/>
    <col min="3655" max="3656" width="1" style="38" customWidth="1"/>
    <col min="3657" max="3657" width="17.85546875" style="38" customWidth="1"/>
    <col min="3658" max="3660" width="1" style="38" customWidth="1"/>
    <col min="3661" max="3661" width="1.85546875" style="38" customWidth="1"/>
    <col min="3662" max="3662" width="11.28515625" style="38" bestFit="1" customWidth="1"/>
    <col min="3663" max="3663" width="10" style="38" customWidth="1"/>
    <col min="3664" max="3664" width="10.42578125" style="38" bestFit="1" customWidth="1"/>
    <col min="3665" max="3665" width="10" style="38" customWidth="1"/>
    <col min="3666" max="3667" width="10" style="38"/>
    <col min="3668" max="3668" width="13.42578125" style="38" bestFit="1" customWidth="1"/>
    <col min="3669" max="3770" width="10" style="38"/>
    <col min="3771" max="3773" width="0" style="38" hidden="1" customWidth="1"/>
    <col min="3774" max="3774" width="64.85546875" style="38" customWidth="1"/>
    <col min="3775" max="3775" width="7" style="38" customWidth="1"/>
    <col min="3776" max="3777" width="1" style="38" customWidth="1"/>
    <col min="3778" max="3778" width="15.140625" style="38" customWidth="1"/>
    <col min="3779" max="3780" width="1" style="38" customWidth="1"/>
    <col min="3781" max="3805" width="0" style="38" hidden="1" customWidth="1"/>
    <col min="3806" max="3807" width="1" style="38" customWidth="1"/>
    <col min="3808" max="3808" width="17.85546875" style="38" customWidth="1"/>
    <col min="3809" max="3810" width="1" style="38" customWidth="1"/>
    <col min="3811" max="3840" width="0" style="38" hidden="1" customWidth="1"/>
    <col min="3841" max="3842" width="1" style="38" customWidth="1"/>
    <col min="3843" max="3843" width="16.5703125" style="38" customWidth="1"/>
    <col min="3844" max="3847" width="1" style="38" customWidth="1"/>
    <col min="3848" max="3848" width="14.7109375" style="38" customWidth="1"/>
    <col min="3849" max="3850" width="1" style="38" customWidth="1"/>
    <col min="3851" max="3875" width="0" style="38" hidden="1" customWidth="1"/>
    <col min="3876" max="3877" width="1" style="38" customWidth="1"/>
    <col min="3878" max="3878" width="17.85546875" style="38" customWidth="1"/>
    <col min="3879" max="3880" width="1" style="38" customWidth="1"/>
    <col min="3881" max="3910" width="0" style="38" hidden="1" customWidth="1"/>
    <col min="3911" max="3912" width="1" style="38" customWidth="1"/>
    <col min="3913" max="3913" width="17.85546875" style="38" customWidth="1"/>
    <col min="3914" max="3916" width="1" style="38" customWidth="1"/>
    <col min="3917" max="3917" width="1.85546875" style="38" customWidth="1"/>
    <col min="3918" max="3918" width="11.28515625" style="38" bestFit="1" customWidth="1"/>
    <col min="3919" max="3919" width="10" style="38" customWidth="1"/>
    <col min="3920" max="3920" width="10.42578125" style="38" bestFit="1" customWidth="1"/>
    <col min="3921" max="3921" width="10" style="38" customWidth="1"/>
    <col min="3922" max="3923" width="10" style="38"/>
    <col min="3924" max="3924" width="13.42578125" style="38" bestFit="1" customWidth="1"/>
    <col min="3925" max="4026" width="10" style="38"/>
    <col min="4027" max="4029" width="0" style="38" hidden="1" customWidth="1"/>
    <col min="4030" max="4030" width="64.85546875" style="38" customWidth="1"/>
    <col min="4031" max="4031" width="7" style="38" customWidth="1"/>
    <col min="4032" max="4033" width="1" style="38" customWidth="1"/>
    <col min="4034" max="4034" width="15.140625" style="38" customWidth="1"/>
    <col min="4035" max="4036" width="1" style="38" customWidth="1"/>
    <col min="4037" max="4061" width="0" style="38" hidden="1" customWidth="1"/>
    <col min="4062" max="4063" width="1" style="38" customWidth="1"/>
    <col min="4064" max="4064" width="17.85546875" style="38" customWidth="1"/>
    <col min="4065" max="4066" width="1" style="38" customWidth="1"/>
    <col min="4067" max="4096" width="0" style="38" hidden="1" customWidth="1"/>
    <col min="4097" max="4098" width="1" style="38" customWidth="1"/>
    <col min="4099" max="4099" width="16.5703125" style="38" customWidth="1"/>
    <col min="4100" max="4103" width="1" style="38" customWidth="1"/>
    <col min="4104" max="4104" width="14.7109375" style="38" customWidth="1"/>
    <col min="4105" max="4106" width="1" style="38" customWidth="1"/>
    <col min="4107" max="4131" width="0" style="38" hidden="1" customWidth="1"/>
    <col min="4132" max="4133" width="1" style="38" customWidth="1"/>
    <col min="4134" max="4134" width="17.85546875" style="38" customWidth="1"/>
    <col min="4135" max="4136" width="1" style="38" customWidth="1"/>
    <col min="4137" max="4166" width="0" style="38" hidden="1" customWidth="1"/>
    <col min="4167" max="4168" width="1" style="38" customWidth="1"/>
    <col min="4169" max="4169" width="17.85546875" style="38" customWidth="1"/>
    <col min="4170" max="4172" width="1" style="38" customWidth="1"/>
    <col min="4173" max="4173" width="1.85546875" style="38" customWidth="1"/>
    <col min="4174" max="4174" width="11.28515625" style="38" bestFit="1" customWidth="1"/>
    <col min="4175" max="4175" width="10" style="38" customWidth="1"/>
    <col min="4176" max="4176" width="10.42578125" style="38" bestFit="1" customWidth="1"/>
    <col min="4177" max="4177" width="10" style="38" customWidth="1"/>
    <col min="4178" max="4179" width="10" style="38"/>
    <col min="4180" max="4180" width="13.42578125" style="38" bestFit="1" customWidth="1"/>
    <col min="4181" max="4282" width="10" style="38"/>
    <col min="4283" max="4285" width="0" style="38" hidden="1" customWidth="1"/>
    <col min="4286" max="4286" width="64.85546875" style="38" customWidth="1"/>
    <col min="4287" max="4287" width="7" style="38" customWidth="1"/>
    <col min="4288" max="4289" width="1" style="38" customWidth="1"/>
    <col min="4290" max="4290" width="15.140625" style="38" customWidth="1"/>
    <col min="4291" max="4292" width="1" style="38" customWidth="1"/>
    <col min="4293" max="4317" width="0" style="38" hidden="1" customWidth="1"/>
    <col min="4318" max="4319" width="1" style="38" customWidth="1"/>
    <col min="4320" max="4320" width="17.85546875" style="38" customWidth="1"/>
    <col min="4321" max="4322" width="1" style="38" customWidth="1"/>
    <col min="4323" max="4352" width="0" style="38" hidden="1" customWidth="1"/>
    <col min="4353" max="4354" width="1" style="38" customWidth="1"/>
    <col min="4355" max="4355" width="16.5703125" style="38" customWidth="1"/>
    <col min="4356" max="4359" width="1" style="38" customWidth="1"/>
    <col min="4360" max="4360" width="14.7109375" style="38" customWidth="1"/>
    <col min="4361" max="4362" width="1" style="38" customWidth="1"/>
    <col min="4363" max="4387" width="0" style="38" hidden="1" customWidth="1"/>
    <col min="4388" max="4389" width="1" style="38" customWidth="1"/>
    <col min="4390" max="4390" width="17.85546875" style="38" customWidth="1"/>
    <col min="4391" max="4392" width="1" style="38" customWidth="1"/>
    <col min="4393" max="4422" width="0" style="38" hidden="1" customWidth="1"/>
    <col min="4423" max="4424" width="1" style="38" customWidth="1"/>
    <col min="4425" max="4425" width="17.85546875" style="38" customWidth="1"/>
    <col min="4426" max="4428" width="1" style="38" customWidth="1"/>
    <col min="4429" max="4429" width="1.85546875" style="38" customWidth="1"/>
    <col min="4430" max="4430" width="11.28515625" style="38" bestFit="1" customWidth="1"/>
    <col min="4431" max="4431" width="10" style="38" customWidth="1"/>
    <col min="4432" max="4432" width="10.42578125" style="38" bestFit="1" customWidth="1"/>
    <col min="4433" max="4433" width="10" style="38" customWidth="1"/>
    <col min="4434" max="4435" width="10" style="38"/>
    <col min="4436" max="4436" width="13.42578125" style="38" bestFit="1" customWidth="1"/>
    <col min="4437" max="4538" width="10" style="38"/>
    <col min="4539" max="4541" width="0" style="38" hidden="1" customWidth="1"/>
    <col min="4542" max="4542" width="64.85546875" style="38" customWidth="1"/>
    <col min="4543" max="4543" width="7" style="38" customWidth="1"/>
    <col min="4544" max="4545" width="1" style="38" customWidth="1"/>
    <col min="4546" max="4546" width="15.140625" style="38" customWidth="1"/>
    <col min="4547" max="4548" width="1" style="38" customWidth="1"/>
    <col min="4549" max="4573" width="0" style="38" hidden="1" customWidth="1"/>
    <col min="4574" max="4575" width="1" style="38" customWidth="1"/>
    <col min="4576" max="4576" width="17.85546875" style="38" customWidth="1"/>
    <col min="4577" max="4578" width="1" style="38" customWidth="1"/>
    <col min="4579" max="4608" width="0" style="38" hidden="1" customWidth="1"/>
    <col min="4609" max="4610" width="1" style="38" customWidth="1"/>
    <col min="4611" max="4611" width="16.5703125" style="38" customWidth="1"/>
    <col min="4612" max="4615" width="1" style="38" customWidth="1"/>
    <col min="4616" max="4616" width="14.7109375" style="38" customWidth="1"/>
    <col min="4617" max="4618" width="1" style="38" customWidth="1"/>
    <col min="4619" max="4643" width="0" style="38" hidden="1" customWidth="1"/>
    <col min="4644" max="4645" width="1" style="38" customWidth="1"/>
    <col min="4646" max="4646" width="17.85546875" style="38" customWidth="1"/>
    <col min="4647" max="4648" width="1" style="38" customWidth="1"/>
    <col min="4649" max="4678" width="0" style="38" hidden="1" customWidth="1"/>
    <col min="4679" max="4680" width="1" style="38" customWidth="1"/>
    <col min="4681" max="4681" width="17.85546875" style="38" customWidth="1"/>
    <col min="4682" max="4684" width="1" style="38" customWidth="1"/>
    <col min="4685" max="4685" width="1.85546875" style="38" customWidth="1"/>
    <col min="4686" max="4686" width="11.28515625" style="38" bestFit="1" customWidth="1"/>
    <col min="4687" max="4687" width="10" style="38" customWidth="1"/>
    <col min="4688" max="4688" width="10.42578125" style="38" bestFit="1" customWidth="1"/>
    <col min="4689" max="4689" width="10" style="38" customWidth="1"/>
    <col min="4690" max="4691" width="10" style="38"/>
    <col min="4692" max="4692" width="13.42578125" style="38" bestFit="1" customWidth="1"/>
    <col min="4693" max="4794" width="10" style="38"/>
    <col min="4795" max="4797" width="0" style="38" hidden="1" customWidth="1"/>
    <col min="4798" max="4798" width="64.85546875" style="38" customWidth="1"/>
    <col min="4799" max="4799" width="7" style="38" customWidth="1"/>
    <col min="4800" max="4801" width="1" style="38" customWidth="1"/>
    <col min="4802" max="4802" width="15.140625" style="38" customWidth="1"/>
    <col min="4803" max="4804" width="1" style="38" customWidth="1"/>
    <col min="4805" max="4829" width="0" style="38" hidden="1" customWidth="1"/>
    <col min="4830" max="4831" width="1" style="38" customWidth="1"/>
    <col min="4832" max="4832" width="17.85546875" style="38" customWidth="1"/>
    <col min="4833" max="4834" width="1" style="38" customWidth="1"/>
    <col min="4835" max="4864" width="0" style="38" hidden="1" customWidth="1"/>
    <col min="4865" max="4866" width="1" style="38" customWidth="1"/>
    <col min="4867" max="4867" width="16.5703125" style="38" customWidth="1"/>
    <col min="4868" max="4871" width="1" style="38" customWidth="1"/>
    <col min="4872" max="4872" width="14.7109375" style="38" customWidth="1"/>
    <col min="4873" max="4874" width="1" style="38" customWidth="1"/>
    <col min="4875" max="4899" width="0" style="38" hidden="1" customWidth="1"/>
    <col min="4900" max="4901" width="1" style="38" customWidth="1"/>
    <col min="4902" max="4902" width="17.85546875" style="38" customWidth="1"/>
    <col min="4903" max="4904" width="1" style="38" customWidth="1"/>
    <col min="4905" max="4934" width="0" style="38" hidden="1" customWidth="1"/>
    <col min="4935" max="4936" width="1" style="38" customWidth="1"/>
    <col min="4937" max="4937" width="17.85546875" style="38" customWidth="1"/>
    <col min="4938" max="4940" width="1" style="38" customWidth="1"/>
    <col min="4941" max="4941" width="1.85546875" style="38" customWidth="1"/>
    <col min="4942" max="4942" width="11.28515625" style="38" bestFit="1" customWidth="1"/>
    <col min="4943" max="4943" width="10" style="38" customWidth="1"/>
    <col min="4944" max="4944" width="10.42578125" style="38" bestFit="1" customWidth="1"/>
    <col min="4945" max="4945" width="10" style="38" customWidth="1"/>
    <col min="4946" max="4947" width="10" style="38"/>
    <col min="4948" max="4948" width="13.42578125" style="38" bestFit="1" customWidth="1"/>
    <col min="4949" max="5050" width="10" style="38"/>
    <col min="5051" max="5053" width="0" style="38" hidden="1" customWidth="1"/>
    <col min="5054" max="5054" width="64.85546875" style="38" customWidth="1"/>
    <col min="5055" max="5055" width="7" style="38" customWidth="1"/>
    <col min="5056" max="5057" width="1" style="38" customWidth="1"/>
    <col min="5058" max="5058" width="15.140625" style="38" customWidth="1"/>
    <col min="5059" max="5060" width="1" style="38" customWidth="1"/>
    <col min="5061" max="5085" width="0" style="38" hidden="1" customWidth="1"/>
    <col min="5086" max="5087" width="1" style="38" customWidth="1"/>
    <col min="5088" max="5088" width="17.85546875" style="38" customWidth="1"/>
    <col min="5089" max="5090" width="1" style="38" customWidth="1"/>
    <col min="5091" max="5120" width="0" style="38" hidden="1" customWidth="1"/>
    <col min="5121" max="5122" width="1" style="38" customWidth="1"/>
    <col min="5123" max="5123" width="16.5703125" style="38" customWidth="1"/>
    <col min="5124" max="5127" width="1" style="38" customWidth="1"/>
    <col min="5128" max="5128" width="14.7109375" style="38" customWidth="1"/>
    <col min="5129" max="5130" width="1" style="38" customWidth="1"/>
    <col min="5131" max="5155" width="0" style="38" hidden="1" customWidth="1"/>
    <col min="5156" max="5157" width="1" style="38" customWidth="1"/>
    <col min="5158" max="5158" width="17.85546875" style="38" customWidth="1"/>
    <col min="5159" max="5160" width="1" style="38" customWidth="1"/>
    <col min="5161" max="5190" width="0" style="38" hidden="1" customWidth="1"/>
    <col min="5191" max="5192" width="1" style="38" customWidth="1"/>
    <col min="5193" max="5193" width="17.85546875" style="38" customWidth="1"/>
    <col min="5194" max="5196" width="1" style="38" customWidth="1"/>
    <col min="5197" max="5197" width="1.85546875" style="38" customWidth="1"/>
    <col min="5198" max="5198" width="11.28515625" style="38" bestFit="1" customWidth="1"/>
    <col min="5199" max="5199" width="10" style="38" customWidth="1"/>
    <col min="5200" max="5200" width="10.42578125" style="38" bestFit="1" customWidth="1"/>
    <col min="5201" max="5201" width="10" style="38" customWidth="1"/>
    <col min="5202" max="5203" width="10" style="38"/>
    <col min="5204" max="5204" width="13.42578125" style="38" bestFit="1" customWidth="1"/>
    <col min="5205" max="5306" width="10" style="38"/>
    <col min="5307" max="5309" width="0" style="38" hidden="1" customWidth="1"/>
    <col min="5310" max="5310" width="64.85546875" style="38" customWidth="1"/>
    <col min="5311" max="5311" width="7" style="38" customWidth="1"/>
    <col min="5312" max="5313" width="1" style="38" customWidth="1"/>
    <col min="5314" max="5314" width="15.140625" style="38" customWidth="1"/>
    <col min="5315" max="5316" width="1" style="38" customWidth="1"/>
    <col min="5317" max="5341" width="0" style="38" hidden="1" customWidth="1"/>
    <col min="5342" max="5343" width="1" style="38" customWidth="1"/>
    <col min="5344" max="5344" width="17.85546875" style="38" customWidth="1"/>
    <col min="5345" max="5346" width="1" style="38" customWidth="1"/>
    <col min="5347" max="5376" width="0" style="38" hidden="1" customWidth="1"/>
    <col min="5377" max="5378" width="1" style="38" customWidth="1"/>
    <col min="5379" max="5379" width="16.5703125" style="38" customWidth="1"/>
    <col min="5380" max="5383" width="1" style="38" customWidth="1"/>
    <col min="5384" max="5384" width="14.7109375" style="38" customWidth="1"/>
    <col min="5385" max="5386" width="1" style="38" customWidth="1"/>
    <col min="5387" max="5411" width="0" style="38" hidden="1" customWidth="1"/>
    <col min="5412" max="5413" width="1" style="38" customWidth="1"/>
    <col min="5414" max="5414" width="17.85546875" style="38" customWidth="1"/>
    <col min="5415" max="5416" width="1" style="38" customWidth="1"/>
    <col min="5417" max="5446" width="0" style="38" hidden="1" customWidth="1"/>
    <col min="5447" max="5448" width="1" style="38" customWidth="1"/>
    <col min="5449" max="5449" width="17.85546875" style="38" customWidth="1"/>
    <col min="5450" max="5452" width="1" style="38" customWidth="1"/>
    <col min="5453" max="5453" width="1.85546875" style="38" customWidth="1"/>
    <col min="5454" max="5454" width="11.28515625" style="38" bestFit="1" customWidth="1"/>
    <col min="5455" max="5455" width="10" style="38" customWidth="1"/>
    <col min="5456" max="5456" width="10.42578125" style="38" bestFit="1" customWidth="1"/>
    <col min="5457" max="5457" width="10" style="38" customWidth="1"/>
    <col min="5458" max="5459" width="10" style="38"/>
    <col min="5460" max="5460" width="13.42578125" style="38" bestFit="1" customWidth="1"/>
    <col min="5461" max="5562" width="10" style="38"/>
    <col min="5563" max="5565" width="0" style="38" hidden="1" customWidth="1"/>
    <col min="5566" max="5566" width="64.85546875" style="38" customWidth="1"/>
    <col min="5567" max="5567" width="7" style="38" customWidth="1"/>
    <col min="5568" max="5569" width="1" style="38" customWidth="1"/>
    <col min="5570" max="5570" width="15.140625" style="38" customWidth="1"/>
    <col min="5571" max="5572" width="1" style="38" customWidth="1"/>
    <col min="5573" max="5597" width="0" style="38" hidden="1" customWidth="1"/>
    <col min="5598" max="5599" width="1" style="38" customWidth="1"/>
    <col min="5600" max="5600" width="17.85546875" style="38" customWidth="1"/>
    <col min="5601" max="5602" width="1" style="38" customWidth="1"/>
    <col min="5603" max="5632" width="0" style="38" hidden="1" customWidth="1"/>
    <col min="5633" max="5634" width="1" style="38" customWidth="1"/>
    <col min="5635" max="5635" width="16.5703125" style="38" customWidth="1"/>
    <col min="5636" max="5639" width="1" style="38" customWidth="1"/>
    <col min="5640" max="5640" width="14.7109375" style="38" customWidth="1"/>
    <col min="5641" max="5642" width="1" style="38" customWidth="1"/>
    <col min="5643" max="5667" width="0" style="38" hidden="1" customWidth="1"/>
    <col min="5668" max="5669" width="1" style="38" customWidth="1"/>
    <col min="5670" max="5670" width="17.85546875" style="38" customWidth="1"/>
    <col min="5671" max="5672" width="1" style="38" customWidth="1"/>
    <col min="5673" max="5702" width="0" style="38" hidden="1" customWidth="1"/>
    <col min="5703" max="5704" width="1" style="38" customWidth="1"/>
    <col min="5705" max="5705" width="17.85546875" style="38" customWidth="1"/>
    <col min="5706" max="5708" width="1" style="38" customWidth="1"/>
    <col min="5709" max="5709" width="1.85546875" style="38" customWidth="1"/>
    <col min="5710" max="5710" width="11.28515625" style="38" bestFit="1" customWidth="1"/>
    <col min="5711" max="5711" width="10" style="38" customWidth="1"/>
    <col min="5712" max="5712" width="10.42578125" style="38" bestFit="1" customWidth="1"/>
    <col min="5713" max="5713" width="10" style="38" customWidth="1"/>
    <col min="5714" max="5715" width="10" style="38"/>
    <col min="5716" max="5716" width="13.42578125" style="38" bestFit="1" customWidth="1"/>
    <col min="5717" max="5818" width="10" style="38"/>
    <col min="5819" max="5821" width="0" style="38" hidden="1" customWidth="1"/>
    <col min="5822" max="5822" width="64.85546875" style="38" customWidth="1"/>
    <col min="5823" max="5823" width="7" style="38" customWidth="1"/>
    <col min="5824" max="5825" width="1" style="38" customWidth="1"/>
    <col min="5826" max="5826" width="15.140625" style="38" customWidth="1"/>
    <col min="5827" max="5828" width="1" style="38" customWidth="1"/>
    <col min="5829" max="5853" width="0" style="38" hidden="1" customWidth="1"/>
    <col min="5854" max="5855" width="1" style="38" customWidth="1"/>
    <col min="5856" max="5856" width="17.85546875" style="38" customWidth="1"/>
    <col min="5857" max="5858" width="1" style="38" customWidth="1"/>
    <col min="5859" max="5888" width="0" style="38" hidden="1" customWidth="1"/>
    <col min="5889" max="5890" width="1" style="38" customWidth="1"/>
    <col min="5891" max="5891" width="16.5703125" style="38" customWidth="1"/>
    <col min="5892" max="5895" width="1" style="38" customWidth="1"/>
    <col min="5896" max="5896" width="14.7109375" style="38" customWidth="1"/>
    <col min="5897" max="5898" width="1" style="38" customWidth="1"/>
    <col min="5899" max="5923" width="0" style="38" hidden="1" customWidth="1"/>
    <col min="5924" max="5925" width="1" style="38" customWidth="1"/>
    <col min="5926" max="5926" width="17.85546875" style="38" customWidth="1"/>
    <col min="5927" max="5928" width="1" style="38" customWidth="1"/>
    <col min="5929" max="5958" width="0" style="38" hidden="1" customWidth="1"/>
    <col min="5959" max="5960" width="1" style="38" customWidth="1"/>
    <col min="5961" max="5961" width="17.85546875" style="38" customWidth="1"/>
    <col min="5962" max="5964" width="1" style="38" customWidth="1"/>
    <col min="5965" max="5965" width="1.85546875" style="38" customWidth="1"/>
    <col min="5966" max="5966" width="11.28515625" style="38" bestFit="1" customWidth="1"/>
    <col min="5967" max="5967" width="10" style="38" customWidth="1"/>
    <col min="5968" max="5968" width="10.42578125" style="38" bestFit="1" customWidth="1"/>
    <col min="5969" max="5969" width="10" style="38" customWidth="1"/>
    <col min="5970" max="5971" width="10" style="38"/>
    <col min="5972" max="5972" width="13.42578125" style="38" bestFit="1" customWidth="1"/>
    <col min="5973" max="6074" width="10" style="38"/>
    <col min="6075" max="6077" width="0" style="38" hidden="1" customWidth="1"/>
    <col min="6078" max="6078" width="64.85546875" style="38" customWidth="1"/>
    <col min="6079" max="6079" width="7" style="38" customWidth="1"/>
    <col min="6080" max="6081" width="1" style="38" customWidth="1"/>
    <col min="6082" max="6082" width="15.140625" style="38" customWidth="1"/>
    <col min="6083" max="6084" width="1" style="38" customWidth="1"/>
    <col min="6085" max="6109" width="0" style="38" hidden="1" customWidth="1"/>
    <col min="6110" max="6111" width="1" style="38" customWidth="1"/>
    <col min="6112" max="6112" width="17.85546875" style="38" customWidth="1"/>
    <col min="6113" max="6114" width="1" style="38" customWidth="1"/>
    <col min="6115" max="6144" width="0" style="38" hidden="1" customWidth="1"/>
    <col min="6145" max="6146" width="1" style="38" customWidth="1"/>
    <col min="6147" max="6147" width="16.5703125" style="38" customWidth="1"/>
    <col min="6148" max="6151" width="1" style="38" customWidth="1"/>
    <col min="6152" max="6152" width="14.7109375" style="38" customWidth="1"/>
    <col min="6153" max="6154" width="1" style="38" customWidth="1"/>
    <col min="6155" max="6179" width="0" style="38" hidden="1" customWidth="1"/>
    <col min="6180" max="6181" width="1" style="38" customWidth="1"/>
    <col min="6182" max="6182" width="17.85546875" style="38" customWidth="1"/>
    <col min="6183" max="6184" width="1" style="38" customWidth="1"/>
    <col min="6185" max="6214" width="0" style="38" hidden="1" customWidth="1"/>
    <col min="6215" max="6216" width="1" style="38" customWidth="1"/>
    <col min="6217" max="6217" width="17.85546875" style="38" customWidth="1"/>
    <col min="6218" max="6220" width="1" style="38" customWidth="1"/>
    <col min="6221" max="6221" width="1.85546875" style="38" customWidth="1"/>
    <col min="6222" max="6222" width="11.28515625" style="38" bestFit="1" customWidth="1"/>
    <col min="6223" max="6223" width="10" style="38" customWidth="1"/>
    <col min="6224" max="6224" width="10.42578125" style="38" bestFit="1" customWidth="1"/>
    <col min="6225" max="6225" width="10" style="38" customWidth="1"/>
    <col min="6226" max="6227" width="10" style="38"/>
    <col min="6228" max="6228" width="13.42578125" style="38" bestFit="1" customWidth="1"/>
    <col min="6229" max="6330" width="10" style="38"/>
    <col min="6331" max="6333" width="0" style="38" hidden="1" customWidth="1"/>
    <col min="6334" max="6334" width="64.85546875" style="38" customWidth="1"/>
    <col min="6335" max="6335" width="7" style="38" customWidth="1"/>
    <col min="6336" max="6337" width="1" style="38" customWidth="1"/>
    <col min="6338" max="6338" width="15.140625" style="38" customWidth="1"/>
    <col min="6339" max="6340" width="1" style="38" customWidth="1"/>
    <col min="6341" max="6365" width="0" style="38" hidden="1" customWidth="1"/>
    <col min="6366" max="6367" width="1" style="38" customWidth="1"/>
    <col min="6368" max="6368" width="17.85546875" style="38" customWidth="1"/>
    <col min="6369" max="6370" width="1" style="38" customWidth="1"/>
    <col min="6371" max="6400" width="0" style="38" hidden="1" customWidth="1"/>
    <col min="6401" max="6402" width="1" style="38" customWidth="1"/>
    <col min="6403" max="6403" width="16.5703125" style="38" customWidth="1"/>
    <col min="6404" max="6407" width="1" style="38" customWidth="1"/>
    <col min="6408" max="6408" width="14.7109375" style="38" customWidth="1"/>
    <col min="6409" max="6410" width="1" style="38" customWidth="1"/>
    <col min="6411" max="6435" width="0" style="38" hidden="1" customWidth="1"/>
    <col min="6436" max="6437" width="1" style="38" customWidth="1"/>
    <col min="6438" max="6438" width="17.85546875" style="38" customWidth="1"/>
    <col min="6439" max="6440" width="1" style="38" customWidth="1"/>
    <col min="6441" max="6470" width="0" style="38" hidden="1" customWidth="1"/>
    <col min="6471" max="6472" width="1" style="38" customWidth="1"/>
    <col min="6473" max="6473" width="17.85546875" style="38" customWidth="1"/>
    <col min="6474" max="6476" width="1" style="38" customWidth="1"/>
    <col min="6477" max="6477" width="1.85546875" style="38" customWidth="1"/>
    <col min="6478" max="6478" width="11.28515625" style="38" bestFit="1" customWidth="1"/>
    <col min="6479" max="6479" width="10" style="38" customWidth="1"/>
    <col min="6480" max="6480" width="10.42578125" style="38" bestFit="1" customWidth="1"/>
    <col min="6481" max="6481" width="10" style="38" customWidth="1"/>
    <col min="6482" max="6483" width="10" style="38"/>
    <col min="6484" max="6484" width="13.42578125" style="38" bestFit="1" customWidth="1"/>
    <col min="6485" max="6586" width="10" style="38"/>
    <col min="6587" max="6589" width="0" style="38" hidden="1" customWidth="1"/>
    <col min="6590" max="6590" width="64.85546875" style="38" customWidth="1"/>
    <col min="6591" max="6591" width="7" style="38" customWidth="1"/>
    <col min="6592" max="6593" width="1" style="38" customWidth="1"/>
    <col min="6594" max="6594" width="15.140625" style="38" customWidth="1"/>
    <col min="6595" max="6596" width="1" style="38" customWidth="1"/>
    <col min="6597" max="6621" width="0" style="38" hidden="1" customWidth="1"/>
    <col min="6622" max="6623" width="1" style="38" customWidth="1"/>
    <col min="6624" max="6624" width="17.85546875" style="38" customWidth="1"/>
    <col min="6625" max="6626" width="1" style="38" customWidth="1"/>
    <col min="6627" max="6656" width="0" style="38" hidden="1" customWidth="1"/>
    <col min="6657" max="6658" width="1" style="38" customWidth="1"/>
    <col min="6659" max="6659" width="16.5703125" style="38" customWidth="1"/>
    <col min="6660" max="6663" width="1" style="38" customWidth="1"/>
    <col min="6664" max="6664" width="14.7109375" style="38" customWidth="1"/>
    <col min="6665" max="6666" width="1" style="38" customWidth="1"/>
    <col min="6667" max="6691" width="0" style="38" hidden="1" customWidth="1"/>
    <col min="6692" max="6693" width="1" style="38" customWidth="1"/>
    <col min="6694" max="6694" width="17.85546875" style="38" customWidth="1"/>
    <col min="6695" max="6696" width="1" style="38" customWidth="1"/>
    <col min="6697" max="6726" width="0" style="38" hidden="1" customWidth="1"/>
    <col min="6727" max="6728" width="1" style="38" customWidth="1"/>
    <col min="6729" max="6729" width="17.85546875" style="38" customWidth="1"/>
    <col min="6730" max="6732" width="1" style="38" customWidth="1"/>
    <col min="6733" max="6733" width="1.85546875" style="38" customWidth="1"/>
    <col min="6734" max="6734" width="11.28515625" style="38" bestFit="1" customWidth="1"/>
    <col min="6735" max="6735" width="10" style="38" customWidth="1"/>
    <col min="6736" max="6736" width="10.42578125" style="38" bestFit="1" customWidth="1"/>
    <col min="6737" max="6737" width="10" style="38" customWidth="1"/>
    <col min="6738" max="6739" width="10" style="38"/>
    <col min="6740" max="6740" width="13.42578125" style="38" bestFit="1" customWidth="1"/>
    <col min="6741" max="6842" width="10" style="38"/>
    <col min="6843" max="6845" width="0" style="38" hidden="1" customWidth="1"/>
    <col min="6846" max="6846" width="64.85546875" style="38" customWidth="1"/>
    <col min="6847" max="6847" width="7" style="38" customWidth="1"/>
    <col min="6848" max="6849" width="1" style="38" customWidth="1"/>
    <col min="6850" max="6850" width="15.140625" style="38" customWidth="1"/>
    <col min="6851" max="6852" width="1" style="38" customWidth="1"/>
    <col min="6853" max="6877" width="0" style="38" hidden="1" customWidth="1"/>
    <col min="6878" max="6879" width="1" style="38" customWidth="1"/>
    <col min="6880" max="6880" width="17.85546875" style="38" customWidth="1"/>
    <col min="6881" max="6882" width="1" style="38" customWidth="1"/>
    <col min="6883" max="6912" width="0" style="38" hidden="1" customWidth="1"/>
    <col min="6913" max="6914" width="1" style="38" customWidth="1"/>
    <col min="6915" max="6915" width="16.5703125" style="38" customWidth="1"/>
    <col min="6916" max="6919" width="1" style="38" customWidth="1"/>
    <col min="6920" max="6920" width="14.7109375" style="38" customWidth="1"/>
    <col min="6921" max="6922" width="1" style="38" customWidth="1"/>
    <col min="6923" max="6947" width="0" style="38" hidden="1" customWidth="1"/>
    <col min="6948" max="6949" width="1" style="38" customWidth="1"/>
    <col min="6950" max="6950" width="17.85546875" style="38" customWidth="1"/>
    <col min="6951" max="6952" width="1" style="38" customWidth="1"/>
    <col min="6953" max="6982" width="0" style="38" hidden="1" customWidth="1"/>
    <col min="6983" max="6984" width="1" style="38" customWidth="1"/>
    <col min="6985" max="6985" width="17.85546875" style="38" customWidth="1"/>
    <col min="6986" max="6988" width="1" style="38" customWidth="1"/>
    <col min="6989" max="6989" width="1.85546875" style="38" customWidth="1"/>
    <col min="6990" max="6990" width="11.28515625" style="38" bestFit="1" customWidth="1"/>
    <col min="6991" max="6991" width="10" style="38" customWidth="1"/>
    <col min="6992" max="6992" width="10.42578125" style="38" bestFit="1" customWidth="1"/>
    <col min="6993" max="6993" width="10" style="38" customWidth="1"/>
    <col min="6994" max="6995" width="10" style="38"/>
    <col min="6996" max="6996" width="13.42578125" style="38" bestFit="1" customWidth="1"/>
    <col min="6997" max="7098" width="10" style="38"/>
    <col min="7099" max="7101" width="0" style="38" hidden="1" customWidth="1"/>
    <col min="7102" max="7102" width="64.85546875" style="38" customWidth="1"/>
    <col min="7103" max="7103" width="7" style="38" customWidth="1"/>
    <col min="7104" max="7105" width="1" style="38" customWidth="1"/>
    <col min="7106" max="7106" width="15.140625" style="38" customWidth="1"/>
    <col min="7107" max="7108" width="1" style="38" customWidth="1"/>
    <col min="7109" max="7133" width="0" style="38" hidden="1" customWidth="1"/>
    <col min="7134" max="7135" width="1" style="38" customWidth="1"/>
    <col min="7136" max="7136" width="17.85546875" style="38" customWidth="1"/>
    <col min="7137" max="7138" width="1" style="38" customWidth="1"/>
    <col min="7139" max="7168" width="0" style="38" hidden="1" customWidth="1"/>
    <col min="7169" max="7170" width="1" style="38" customWidth="1"/>
    <col min="7171" max="7171" width="16.5703125" style="38" customWidth="1"/>
    <col min="7172" max="7175" width="1" style="38" customWidth="1"/>
    <col min="7176" max="7176" width="14.7109375" style="38" customWidth="1"/>
    <col min="7177" max="7178" width="1" style="38" customWidth="1"/>
    <col min="7179" max="7203" width="0" style="38" hidden="1" customWidth="1"/>
    <col min="7204" max="7205" width="1" style="38" customWidth="1"/>
    <col min="7206" max="7206" width="17.85546875" style="38" customWidth="1"/>
    <col min="7207" max="7208" width="1" style="38" customWidth="1"/>
    <col min="7209" max="7238" width="0" style="38" hidden="1" customWidth="1"/>
    <col min="7239" max="7240" width="1" style="38" customWidth="1"/>
    <col min="7241" max="7241" width="17.85546875" style="38" customWidth="1"/>
    <col min="7242" max="7244" width="1" style="38" customWidth="1"/>
    <col min="7245" max="7245" width="1.85546875" style="38" customWidth="1"/>
    <col min="7246" max="7246" width="11.28515625" style="38" bestFit="1" customWidth="1"/>
    <col min="7247" max="7247" width="10" style="38" customWidth="1"/>
    <col min="7248" max="7248" width="10.42578125" style="38" bestFit="1" customWidth="1"/>
    <col min="7249" max="7249" width="10" style="38" customWidth="1"/>
    <col min="7250" max="7251" width="10" style="38"/>
    <col min="7252" max="7252" width="13.42578125" style="38" bestFit="1" customWidth="1"/>
    <col min="7253" max="7354" width="10" style="38"/>
    <col min="7355" max="7357" width="0" style="38" hidden="1" customWidth="1"/>
    <col min="7358" max="7358" width="64.85546875" style="38" customWidth="1"/>
    <col min="7359" max="7359" width="7" style="38" customWidth="1"/>
    <col min="7360" max="7361" width="1" style="38" customWidth="1"/>
    <col min="7362" max="7362" width="15.140625" style="38" customWidth="1"/>
    <col min="7363" max="7364" width="1" style="38" customWidth="1"/>
    <col min="7365" max="7389" width="0" style="38" hidden="1" customWidth="1"/>
    <col min="7390" max="7391" width="1" style="38" customWidth="1"/>
    <col min="7392" max="7392" width="17.85546875" style="38" customWidth="1"/>
    <col min="7393" max="7394" width="1" style="38" customWidth="1"/>
    <col min="7395" max="7424" width="0" style="38" hidden="1" customWidth="1"/>
    <col min="7425" max="7426" width="1" style="38" customWidth="1"/>
    <col min="7427" max="7427" width="16.5703125" style="38" customWidth="1"/>
    <col min="7428" max="7431" width="1" style="38" customWidth="1"/>
    <col min="7432" max="7432" width="14.7109375" style="38" customWidth="1"/>
    <col min="7433" max="7434" width="1" style="38" customWidth="1"/>
    <col min="7435" max="7459" width="0" style="38" hidden="1" customWidth="1"/>
    <col min="7460" max="7461" width="1" style="38" customWidth="1"/>
    <col min="7462" max="7462" width="17.85546875" style="38" customWidth="1"/>
    <col min="7463" max="7464" width="1" style="38" customWidth="1"/>
    <col min="7465" max="7494" width="0" style="38" hidden="1" customWidth="1"/>
    <col min="7495" max="7496" width="1" style="38" customWidth="1"/>
    <col min="7497" max="7497" width="17.85546875" style="38" customWidth="1"/>
    <col min="7498" max="7500" width="1" style="38" customWidth="1"/>
    <col min="7501" max="7501" width="1.85546875" style="38" customWidth="1"/>
    <col min="7502" max="7502" width="11.28515625" style="38" bestFit="1" customWidth="1"/>
    <col min="7503" max="7503" width="10" style="38" customWidth="1"/>
    <col min="7504" max="7504" width="10.42578125" style="38" bestFit="1" customWidth="1"/>
    <col min="7505" max="7505" width="10" style="38" customWidth="1"/>
    <col min="7506" max="7507" width="10" style="38"/>
    <col min="7508" max="7508" width="13.42578125" style="38" bestFit="1" customWidth="1"/>
    <col min="7509" max="7610" width="10" style="38"/>
    <col min="7611" max="7613" width="0" style="38" hidden="1" customWidth="1"/>
    <col min="7614" max="7614" width="64.85546875" style="38" customWidth="1"/>
    <col min="7615" max="7615" width="7" style="38" customWidth="1"/>
    <col min="7616" max="7617" width="1" style="38" customWidth="1"/>
    <col min="7618" max="7618" width="15.140625" style="38" customWidth="1"/>
    <col min="7619" max="7620" width="1" style="38" customWidth="1"/>
    <col min="7621" max="7645" width="0" style="38" hidden="1" customWidth="1"/>
    <col min="7646" max="7647" width="1" style="38" customWidth="1"/>
    <col min="7648" max="7648" width="17.85546875" style="38" customWidth="1"/>
    <col min="7649" max="7650" width="1" style="38" customWidth="1"/>
    <col min="7651" max="7680" width="0" style="38" hidden="1" customWidth="1"/>
    <col min="7681" max="7682" width="1" style="38" customWidth="1"/>
    <col min="7683" max="7683" width="16.5703125" style="38" customWidth="1"/>
    <col min="7684" max="7687" width="1" style="38" customWidth="1"/>
    <col min="7688" max="7688" width="14.7109375" style="38" customWidth="1"/>
    <col min="7689" max="7690" width="1" style="38" customWidth="1"/>
    <col min="7691" max="7715" width="0" style="38" hidden="1" customWidth="1"/>
    <col min="7716" max="7717" width="1" style="38" customWidth="1"/>
    <col min="7718" max="7718" width="17.85546875" style="38" customWidth="1"/>
    <col min="7719" max="7720" width="1" style="38" customWidth="1"/>
    <col min="7721" max="7750" width="0" style="38" hidden="1" customWidth="1"/>
    <col min="7751" max="7752" width="1" style="38" customWidth="1"/>
    <col min="7753" max="7753" width="17.85546875" style="38" customWidth="1"/>
    <col min="7754" max="7756" width="1" style="38" customWidth="1"/>
    <col min="7757" max="7757" width="1.85546875" style="38" customWidth="1"/>
    <col min="7758" max="7758" width="11.28515625" style="38" bestFit="1" customWidth="1"/>
    <col min="7759" max="7759" width="10" style="38" customWidth="1"/>
    <col min="7760" max="7760" width="10.42578125" style="38" bestFit="1" customWidth="1"/>
    <col min="7761" max="7761" width="10" style="38" customWidth="1"/>
    <col min="7762" max="7763" width="10" style="38"/>
    <col min="7764" max="7764" width="13.42578125" style="38" bestFit="1" customWidth="1"/>
    <col min="7765" max="7866" width="10" style="38"/>
    <col min="7867" max="7869" width="0" style="38" hidden="1" customWidth="1"/>
    <col min="7870" max="7870" width="64.85546875" style="38" customWidth="1"/>
    <col min="7871" max="7871" width="7" style="38" customWidth="1"/>
    <col min="7872" max="7873" width="1" style="38" customWidth="1"/>
    <col min="7874" max="7874" width="15.140625" style="38" customWidth="1"/>
    <col min="7875" max="7876" width="1" style="38" customWidth="1"/>
    <col min="7877" max="7901" width="0" style="38" hidden="1" customWidth="1"/>
    <col min="7902" max="7903" width="1" style="38" customWidth="1"/>
    <col min="7904" max="7904" width="17.85546875" style="38" customWidth="1"/>
    <col min="7905" max="7906" width="1" style="38" customWidth="1"/>
    <col min="7907" max="7936" width="0" style="38" hidden="1" customWidth="1"/>
    <col min="7937" max="7938" width="1" style="38" customWidth="1"/>
    <col min="7939" max="7939" width="16.5703125" style="38" customWidth="1"/>
    <col min="7940" max="7943" width="1" style="38" customWidth="1"/>
    <col min="7944" max="7944" width="14.7109375" style="38" customWidth="1"/>
    <col min="7945" max="7946" width="1" style="38" customWidth="1"/>
    <col min="7947" max="7971" width="0" style="38" hidden="1" customWidth="1"/>
    <col min="7972" max="7973" width="1" style="38" customWidth="1"/>
    <col min="7974" max="7974" width="17.85546875" style="38" customWidth="1"/>
    <col min="7975" max="7976" width="1" style="38" customWidth="1"/>
    <col min="7977" max="8006" width="0" style="38" hidden="1" customWidth="1"/>
    <col min="8007" max="8008" width="1" style="38" customWidth="1"/>
    <col min="8009" max="8009" width="17.85546875" style="38" customWidth="1"/>
    <col min="8010" max="8012" width="1" style="38" customWidth="1"/>
    <col min="8013" max="8013" width="1.85546875" style="38" customWidth="1"/>
    <col min="8014" max="8014" width="11.28515625" style="38" bestFit="1" customWidth="1"/>
    <col min="8015" max="8015" width="10" style="38" customWidth="1"/>
    <col min="8016" max="8016" width="10.42578125" style="38" bestFit="1" customWidth="1"/>
    <col min="8017" max="8017" width="10" style="38" customWidth="1"/>
    <col min="8018" max="8019" width="10" style="38"/>
    <col min="8020" max="8020" width="13.42578125" style="38" bestFit="1" customWidth="1"/>
    <col min="8021" max="8122" width="10" style="38"/>
    <col min="8123" max="8125" width="0" style="38" hidden="1" customWidth="1"/>
    <col min="8126" max="8126" width="64.85546875" style="38" customWidth="1"/>
    <col min="8127" max="8127" width="7" style="38" customWidth="1"/>
    <col min="8128" max="8129" width="1" style="38" customWidth="1"/>
    <col min="8130" max="8130" width="15.140625" style="38" customWidth="1"/>
    <col min="8131" max="8132" width="1" style="38" customWidth="1"/>
    <col min="8133" max="8157" width="0" style="38" hidden="1" customWidth="1"/>
    <col min="8158" max="8159" width="1" style="38" customWidth="1"/>
    <col min="8160" max="8160" width="17.85546875" style="38" customWidth="1"/>
    <col min="8161" max="8162" width="1" style="38" customWidth="1"/>
    <col min="8163" max="8192" width="0" style="38" hidden="1" customWidth="1"/>
    <col min="8193" max="8194" width="1" style="38" customWidth="1"/>
    <col min="8195" max="8195" width="16.5703125" style="38" customWidth="1"/>
    <col min="8196" max="8199" width="1" style="38" customWidth="1"/>
    <col min="8200" max="8200" width="14.7109375" style="38" customWidth="1"/>
    <col min="8201" max="8202" width="1" style="38" customWidth="1"/>
    <col min="8203" max="8227" width="0" style="38" hidden="1" customWidth="1"/>
    <col min="8228" max="8229" width="1" style="38" customWidth="1"/>
    <col min="8230" max="8230" width="17.85546875" style="38" customWidth="1"/>
    <col min="8231" max="8232" width="1" style="38" customWidth="1"/>
    <col min="8233" max="8262" width="0" style="38" hidden="1" customWidth="1"/>
    <col min="8263" max="8264" width="1" style="38" customWidth="1"/>
    <col min="8265" max="8265" width="17.85546875" style="38" customWidth="1"/>
    <col min="8266" max="8268" width="1" style="38" customWidth="1"/>
    <col min="8269" max="8269" width="1.85546875" style="38" customWidth="1"/>
    <col min="8270" max="8270" width="11.28515625" style="38" bestFit="1" customWidth="1"/>
    <col min="8271" max="8271" width="10" style="38" customWidth="1"/>
    <col min="8272" max="8272" width="10.42578125" style="38" bestFit="1" customWidth="1"/>
    <col min="8273" max="8273" width="10" style="38" customWidth="1"/>
    <col min="8274" max="8275" width="10" style="38"/>
    <col min="8276" max="8276" width="13.42578125" style="38" bestFit="1" customWidth="1"/>
    <col min="8277" max="8378" width="10" style="38"/>
    <col min="8379" max="8381" width="0" style="38" hidden="1" customWidth="1"/>
    <col min="8382" max="8382" width="64.85546875" style="38" customWidth="1"/>
    <col min="8383" max="8383" width="7" style="38" customWidth="1"/>
    <col min="8384" max="8385" width="1" style="38" customWidth="1"/>
    <col min="8386" max="8386" width="15.140625" style="38" customWidth="1"/>
    <col min="8387" max="8388" width="1" style="38" customWidth="1"/>
    <col min="8389" max="8413" width="0" style="38" hidden="1" customWidth="1"/>
    <col min="8414" max="8415" width="1" style="38" customWidth="1"/>
    <col min="8416" max="8416" width="17.85546875" style="38" customWidth="1"/>
    <col min="8417" max="8418" width="1" style="38" customWidth="1"/>
    <col min="8419" max="8448" width="0" style="38" hidden="1" customWidth="1"/>
    <col min="8449" max="8450" width="1" style="38" customWidth="1"/>
    <col min="8451" max="8451" width="16.5703125" style="38" customWidth="1"/>
    <col min="8452" max="8455" width="1" style="38" customWidth="1"/>
    <col min="8456" max="8456" width="14.7109375" style="38" customWidth="1"/>
    <col min="8457" max="8458" width="1" style="38" customWidth="1"/>
    <col min="8459" max="8483" width="0" style="38" hidden="1" customWidth="1"/>
    <col min="8484" max="8485" width="1" style="38" customWidth="1"/>
    <col min="8486" max="8486" width="17.85546875" style="38" customWidth="1"/>
    <col min="8487" max="8488" width="1" style="38" customWidth="1"/>
    <col min="8489" max="8518" width="0" style="38" hidden="1" customWidth="1"/>
    <col min="8519" max="8520" width="1" style="38" customWidth="1"/>
    <col min="8521" max="8521" width="17.85546875" style="38" customWidth="1"/>
    <col min="8522" max="8524" width="1" style="38" customWidth="1"/>
    <col min="8525" max="8525" width="1.85546875" style="38" customWidth="1"/>
    <col min="8526" max="8526" width="11.28515625" style="38" bestFit="1" customWidth="1"/>
    <col min="8527" max="8527" width="10" style="38" customWidth="1"/>
    <col min="8528" max="8528" width="10.42578125" style="38" bestFit="1" customWidth="1"/>
    <col min="8529" max="8529" width="10" style="38" customWidth="1"/>
    <col min="8530" max="8531" width="10" style="38"/>
    <col min="8532" max="8532" width="13.42578125" style="38" bestFit="1" customWidth="1"/>
    <col min="8533" max="8634" width="10" style="38"/>
    <col min="8635" max="8637" width="0" style="38" hidden="1" customWidth="1"/>
    <col min="8638" max="8638" width="64.85546875" style="38" customWidth="1"/>
    <col min="8639" max="8639" width="7" style="38" customWidth="1"/>
    <col min="8640" max="8641" width="1" style="38" customWidth="1"/>
    <col min="8642" max="8642" width="15.140625" style="38" customWidth="1"/>
    <col min="8643" max="8644" width="1" style="38" customWidth="1"/>
    <col min="8645" max="8669" width="0" style="38" hidden="1" customWidth="1"/>
    <col min="8670" max="8671" width="1" style="38" customWidth="1"/>
    <col min="8672" max="8672" width="17.85546875" style="38" customWidth="1"/>
    <col min="8673" max="8674" width="1" style="38" customWidth="1"/>
    <col min="8675" max="8704" width="0" style="38" hidden="1" customWidth="1"/>
    <col min="8705" max="8706" width="1" style="38" customWidth="1"/>
    <col min="8707" max="8707" width="16.5703125" style="38" customWidth="1"/>
    <col min="8708" max="8711" width="1" style="38" customWidth="1"/>
    <col min="8712" max="8712" width="14.7109375" style="38" customWidth="1"/>
    <col min="8713" max="8714" width="1" style="38" customWidth="1"/>
    <col min="8715" max="8739" width="0" style="38" hidden="1" customWidth="1"/>
    <col min="8740" max="8741" width="1" style="38" customWidth="1"/>
    <col min="8742" max="8742" width="17.85546875" style="38" customWidth="1"/>
    <col min="8743" max="8744" width="1" style="38" customWidth="1"/>
    <col min="8745" max="8774" width="0" style="38" hidden="1" customWidth="1"/>
    <col min="8775" max="8776" width="1" style="38" customWidth="1"/>
    <col min="8777" max="8777" width="17.85546875" style="38" customWidth="1"/>
    <col min="8778" max="8780" width="1" style="38" customWidth="1"/>
    <col min="8781" max="8781" width="1.85546875" style="38" customWidth="1"/>
    <col min="8782" max="8782" width="11.28515625" style="38" bestFit="1" customWidth="1"/>
    <col min="8783" max="8783" width="10" style="38" customWidth="1"/>
    <col min="8784" max="8784" width="10.42578125" style="38" bestFit="1" customWidth="1"/>
    <col min="8785" max="8785" width="10" style="38" customWidth="1"/>
    <col min="8786" max="8787" width="10" style="38"/>
    <col min="8788" max="8788" width="13.42578125" style="38" bestFit="1" customWidth="1"/>
    <col min="8789" max="8890" width="10" style="38"/>
    <col min="8891" max="8893" width="0" style="38" hidden="1" customWidth="1"/>
    <col min="8894" max="8894" width="64.85546875" style="38" customWidth="1"/>
    <col min="8895" max="8895" width="7" style="38" customWidth="1"/>
    <col min="8896" max="8897" width="1" style="38" customWidth="1"/>
    <col min="8898" max="8898" width="15.140625" style="38" customWidth="1"/>
    <col min="8899" max="8900" width="1" style="38" customWidth="1"/>
    <col min="8901" max="8925" width="0" style="38" hidden="1" customWidth="1"/>
    <col min="8926" max="8927" width="1" style="38" customWidth="1"/>
    <col min="8928" max="8928" width="17.85546875" style="38" customWidth="1"/>
    <col min="8929" max="8930" width="1" style="38" customWidth="1"/>
    <col min="8931" max="8960" width="0" style="38" hidden="1" customWidth="1"/>
    <col min="8961" max="8962" width="1" style="38" customWidth="1"/>
    <col min="8963" max="8963" width="16.5703125" style="38" customWidth="1"/>
    <col min="8964" max="8967" width="1" style="38" customWidth="1"/>
    <col min="8968" max="8968" width="14.7109375" style="38" customWidth="1"/>
    <col min="8969" max="8970" width="1" style="38" customWidth="1"/>
    <col min="8971" max="8995" width="0" style="38" hidden="1" customWidth="1"/>
    <col min="8996" max="8997" width="1" style="38" customWidth="1"/>
    <col min="8998" max="8998" width="17.85546875" style="38" customWidth="1"/>
    <col min="8999" max="9000" width="1" style="38" customWidth="1"/>
    <col min="9001" max="9030" width="0" style="38" hidden="1" customWidth="1"/>
    <col min="9031" max="9032" width="1" style="38" customWidth="1"/>
    <col min="9033" max="9033" width="17.85546875" style="38" customWidth="1"/>
    <col min="9034" max="9036" width="1" style="38" customWidth="1"/>
    <col min="9037" max="9037" width="1.85546875" style="38" customWidth="1"/>
    <col min="9038" max="9038" width="11.28515625" style="38" bestFit="1" customWidth="1"/>
    <col min="9039" max="9039" width="10" style="38" customWidth="1"/>
    <col min="9040" max="9040" width="10.42578125" style="38" bestFit="1" customWidth="1"/>
    <col min="9041" max="9041" width="10" style="38" customWidth="1"/>
    <col min="9042" max="9043" width="10" style="38"/>
    <col min="9044" max="9044" width="13.42578125" style="38" bestFit="1" customWidth="1"/>
    <col min="9045" max="9146" width="10" style="38"/>
    <col min="9147" max="9149" width="0" style="38" hidden="1" customWidth="1"/>
    <col min="9150" max="9150" width="64.85546875" style="38" customWidth="1"/>
    <col min="9151" max="9151" width="7" style="38" customWidth="1"/>
    <col min="9152" max="9153" width="1" style="38" customWidth="1"/>
    <col min="9154" max="9154" width="15.140625" style="38" customWidth="1"/>
    <col min="9155" max="9156" width="1" style="38" customWidth="1"/>
    <col min="9157" max="9181" width="0" style="38" hidden="1" customWidth="1"/>
    <col min="9182" max="9183" width="1" style="38" customWidth="1"/>
    <col min="9184" max="9184" width="17.85546875" style="38" customWidth="1"/>
    <col min="9185" max="9186" width="1" style="38" customWidth="1"/>
    <col min="9187" max="9216" width="0" style="38" hidden="1" customWidth="1"/>
    <col min="9217" max="9218" width="1" style="38" customWidth="1"/>
    <col min="9219" max="9219" width="16.5703125" style="38" customWidth="1"/>
    <col min="9220" max="9223" width="1" style="38" customWidth="1"/>
    <col min="9224" max="9224" width="14.7109375" style="38" customWidth="1"/>
    <col min="9225" max="9226" width="1" style="38" customWidth="1"/>
    <col min="9227" max="9251" width="0" style="38" hidden="1" customWidth="1"/>
    <col min="9252" max="9253" width="1" style="38" customWidth="1"/>
    <col min="9254" max="9254" width="17.85546875" style="38" customWidth="1"/>
    <col min="9255" max="9256" width="1" style="38" customWidth="1"/>
    <col min="9257" max="9286" width="0" style="38" hidden="1" customWidth="1"/>
    <col min="9287" max="9288" width="1" style="38" customWidth="1"/>
    <col min="9289" max="9289" width="17.85546875" style="38" customWidth="1"/>
    <col min="9290" max="9292" width="1" style="38" customWidth="1"/>
    <col min="9293" max="9293" width="1.85546875" style="38" customWidth="1"/>
    <col min="9294" max="9294" width="11.28515625" style="38" bestFit="1" customWidth="1"/>
    <col min="9295" max="9295" width="10" style="38" customWidth="1"/>
    <col min="9296" max="9296" width="10.42578125" style="38" bestFit="1" customWidth="1"/>
    <col min="9297" max="9297" width="10" style="38" customWidth="1"/>
    <col min="9298" max="9299" width="10" style="38"/>
    <col min="9300" max="9300" width="13.42578125" style="38" bestFit="1" customWidth="1"/>
    <col min="9301" max="9402" width="10" style="38"/>
    <col min="9403" max="9405" width="0" style="38" hidden="1" customWidth="1"/>
    <col min="9406" max="9406" width="64.85546875" style="38" customWidth="1"/>
    <col min="9407" max="9407" width="7" style="38" customWidth="1"/>
    <col min="9408" max="9409" width="1" style="38" customWidth="1"/>
    <col min="9410" max="9410" width="15.140625" style="38" customWidth="1"/>
    <col min="9411" max="9412" width="1" style="38" customWidth="1"/>
    <col min="9413" max="9437" width="0" style="38" hidden="1" customWidth="1"/>
    <col min="9438" max="9439" width="1" style="38" customWidth="1"/>
    <col min="9440" max="9440" width="17.85546875" style="38" customWidth="1"/>
    <col min="9441" max="9442" width="1" style="38" customWidth="1"/>
    <col min="9443" max="9472" width="0" style="38" hidden="1" customWidth="1"/>
    <col min="9473" max="9474" width="1" style="38" customWidth="1"/>
    <col min="9475" max="9475" width="16.5703125" style="38" customWidth="1"/>
    <col min="9476" max="9479" width="1" style="38" customWidth="1"/>
    <col min="9480" max="9480" width="14.7109375" style="38" customWidth="1"/>
    <col min="9481" max="9482" width="1" style="38" customWidth="1"/>
    <col min="9483" max="9507" width="0" style="38" hidden="1" customWidth="1"/>
    <col min="9508" max="9509" width="1" style="38" customWidth="1"/>
    <col min="9510" max="9510" width="17.85546875" style="38" customWidth="1"/>
    <col min="9511" max="9512" width="1" style="38" customWidth="1"/>
    <col min="9513" max="9542" width="0" style="38" hidden="1" customWidth="1"/>
    <col min="9543" max="9544" width="1" style="38" customWidth="1"/>
    <col min="9545" max="9545" width="17.85546875" style="38" customWidth="1"/>
    <col min="9546" max="9548" width="1" style="38" customWidth="1"/>
    <col min="9549" max="9549" width="1.85546875" style="38" customWidth="1"/>
    <col min="9550" max="9550" width="11.28515625" style="38" bestFit="1" customWidth="1"/>
    <col min="9551" max="9551" width="10" style="38" customWidth="1"/>
    <col min="9552" max="9552" width="10.42578125" style="38" bestFit="1" customWidth="1"/>
    <col min="9553" max="9553" width="10" style="38" customWidth="1"/>
    <col min="9554" max="9555" width="10" style="38"/>
    <col min="9556" max="9556" width="13.42578125" style="38" bestFit="1" customWidth="1"/>
    <col min="9557" max="9658" width="10" style="38"/>
    <col min="9659" max="9661" width="0" style="38" hidden="1" customWidth="1"/>
    <col min="9662" max="9662" width="64.85546875" style="38" customWidth="1"/>
    <col min="9663" max="9663" width="7" style="38" customWidth="1"/>
    <col min="9664" max="9665" width="1" style="38" customWidth="1"/>
    <col min="9666" max="9666" width="15.140625" style="38" customWidth="1"/>
    <col min="9667" max="9668" width="1" style="38" customWidth="1"/>
    <col min="9669" max="9693" width="0" style="38" hidden="1" customWidth="1"/>
    <col min="9694" max="9695" width="1" style="38" customWidth="1"/>
    <col min="9696" max="9696" width="17.85546875" style="38" customWidth="1"/>
    <col min="9697" max="9698" width="1" style="38" customWidth="1"/>
    <col min="9699" max="9728" width="0" style="38" hidden="1" customWidth="1"/>
    <col min="9729" max="9730" width="1" style="38" customWidth="1"/>
    <col min="9731" max="9731" width="16.5703125" style="38" customWidth="1"/>
    <col min="9732" max="9735" width="1" style="38" customWidth="1"/>
    <col min="9736" max="9736" width="14.7109375" style="38" customWidth="1"/>
    <col min="9737" max="9738" width="1" style="38" customWidth="1"/>
    <col min="9739" max="9763" width="0" style="38" hidden="1" customWidth="1"/>
    <col min="9764" max="9765" width="1" style="38" customWidth="1"/>
    <col min="9766" max="9766" width="17.85546875" style="38" customWidth="1"/>
    <col min="9767" max="9768" width="1" style="38" customWidth="1"/>
    <col min="9769" max="9798" width="0" style="38" hidden="1" customWidth="1"/>
    <col min="9799" max="9800" width="1" style="38" customWidth="1"/>
    <col min="9801" max="9801" width="17.85546875" style="38" customWidth="1"/>
    <col min="9802" max="9804" width="1" style="38" customWidth="1"/>
    <col min="9805" max="9805" width="1.85546875" style="38" customWidth="1"/>
    <col min="9806" max="9806" width="11.28515625" style="38" bestFit="1" customWidth="1"/>
    <col min="9807" max="9807" width="10" style="38" customWidth="1"/>
    <col min="9808" max="9808" width="10.42578125" style="38" bestFit="1" customWidth="1"/>
    <col min="9809" max="9809" width="10" style="38" customWidth="1"/>
    <col min="9810" max="9811" width="10" style="38"/>
    <col min="9812" max="9812" width="13.42578125" style="38" bestFit="1" customWidth="1"/>
    <col min="9813" max="9914" width="10" style="38"/>
    <col min="9915" max="9917" width="0" style="38" hidden="1" customWidth="1"/>
    <col min="9918" max="9918" width="64.85546875" style="38" customWidth="1"/>
    <col min="9919" max="9919" width="7" style="38" customWidth="1"/>
    <col min="9920" max="9921" width="1" style="38" customWidth="1"/>
    <col min="9922" max="9922" width="15.140625" style="38" customWidth="1"/>
    <col min="9923" max="9924" width="1" style="38" customWidth="1"/>
    <col min="9925" max="9949" width="0" style="38" hidden="1" customWidth="1"/>
    <col min="9950" max="9951" width="1" style="38" customWidth="1"/>
    <col min="9952" max="9952" width="17.85546875" style="38" customWidth="1"/>
    <col min="9953" max="9954" width="1" style="38" customWidth="1"/>
    <col min="9955" max="9984" width="0" style="38" hidden="1" customWidth="1"/>
    <col min="9985" max="9986" width="1" style="38" customWidth="1"/>
    <col min="9987" max="9987" width="16.5703125" style="38" customWidth="1"/>
    <col min="9988" max="9991" width="1" style="38" customWidth="1"/>
    <col min="9992" max="9992" width="14.7109375" style="38" customWidth="1"/>
    <col min="9993" max="9994" width="1" style="38" customWidth="1"/>
    <col min="9995" max="10019" width="0" style="38" hidden="1" customWidth="1"/>
    <col min="10020" max="10021" width="1" style="38" customWidth="1"/>
    <col min="10022" max="10022" width="17.85546875" style="38" customWidth="1"/>
    <col min="10023" max="10024" width="1" style="38" customWidth="1"/>
    <col min="10025" max="10054" width="0" style="38" hidden="1" customWidth="1"/>
    <col min="10055" max="10056" width="1" style="38" customWidth="1"/>
    <col min="10057" max="10057" width="17.85546875" style="38" customWidth="1"/>
    <col min="10058" max="10060" width="1" style="38" customWidth="1"/>
    <col min="10061" max="10061" width="1.85546875" style="38" customWidth="1"/>
    <col min="10062" max="10062" width="11.28515625" style="38" bestFit="1" customWidth="1"/>
    <col min="10063" max="10063" width="10" style="38" customWidth="1"/>
    <col min="10064" max="10064" width="10.42578125" style="38" bestFit="1" customWidth="1"/>
    <col min="10065" max="10065" width="10" style="38" customWidth="1"/>
    <col min="10066" max="10067" width="10" style="38"/>
    <col min="10068" max="10068" width="13.42578125" style="38" bestFit="1" customWidth="1"/>
    <col min="10069" max="10170" width="10" style="38"/>
    <col min="10171" max="10173" width="0" style="38" hidden="1" customWidth="1"/>
    <col min="10174" max="10174" width="64.85546875" style="38" customWidth="1"/>
    <col min="10175" max="10175" width="7" style="38" customWidth="1"/>
    <col min="10176" max="10177" width="1" style="38" customWidth="1"/>
    <col min="10178" max="10178" width="15.140625" style="38" customWidth="1"/>
    <col min="10179" max="10180" width="1" style="38" customWidth="1"/>
    <col min="10181" max="10205" width="0" style="38" hidden="1" customWidth="1"/>
    <col min="10206" max="10207" width="1" style="38" customWidth="1"/>
    <col min="10208" max="10208" width="17.85546875" style="38" customWidth="1"/>
    <col min="10209" max="10210" width="1" style="38" customWidth="1"/>
    <col min="10211" max="10240" width="0" style="38" hidden="1" customWidth="1"/>
    <col min="10241" max="10242" width="1" style="38" customWidth="1"/>
    <col min="10243" max="10243" width="16.5703125" style="38" customWidth="1"/>
    <col min="10244" max="10247" width="1" style="38" customWidth="1"/>
    <col min="10248" max="10248" width="14.7109375" style="38" customWidth="1"/>
    <col min="10249" max="10250" width="1" style="38" customWidth="1"/>
    <col min="10251" max="10275" width="0" style="38" hidden="1" customWidth="1"/>
    <col min="10276" max="10277" width="1" style="38" customWidth="1"/>
    <col min="10278" max="10278" width="17.85546875" style="38" customWidth="1"/>
    <col min="10279" max="10280" width="1" style="38" customWidth="1"/>
    <col min="10281" max="10310" width="0" style="38" hidden="1" customWidth="1"/>
    <col min="10311" max="10312" width="1" style="38" customWidth="1"/>
    <col min="10313" max="10313" width="17.85546875" style="38" customWidth="1"/>
    <col min="10314" max="10316" width="1" style="38" customWidth="1"/>
    <col min="10317" max="10317" width="1.85546875" style="38" customWidth="1"/>
    <col min="10318" max="10318" width="11.28515625" style="38" bestFit="1" customWidth="1"/>
    <col min="10319" max="10319" width="10" style="38" customWidth="1"/>
    <col min="10320" max="10320" width="10.42578125" style="38" bestFit="1" customWidth="1"/>
    <col min="10321" max="10321" width="10" style="38" customWidth="1"/>
    <col min="10322" max="10323" width="10" style="38"/>
    <col min="10324" max="10324" width="13.42578125" style="38" bestFit="1" customWidth="1"/>
    <col min="10325" max="10426" width="10" style="38"/>
    <col min="10427" max="10429" width="0" style="38" hidden="1" customWidth="1"/>
    <col min="10430" max="10430" width="64.85546875" style="38" customWidth="1"/>
    <col min="10431" max="10431" width="7" style="38" customWidth="1"/>
    <col min="10432" max="10433" width="1" style="38" customWidth="1"/>
    <col min="10434" max="10434" width="15.140625" style="38" customWidth="1"/>
    <col min="10435" max="10436" width="1" style="38" customWidth="1"/>
    <col min="10437" max="10461" width="0" style="38" hidden="1" customWidth="1"/>
    <col min="10462" max="10463" width="1" style="38" customWidth="1"/>
    <col min="10464" max="10464" width="17.85546875" style="38" customWidth="1"/>
    <col min="10465" max="10466" width="1" style="38" customWidth="1"/>
    <col min="10467" max="10496" width="0" style="38" hidden="1" customWidth="1"/>
    <col min="10497" max="10498" width="1" style="38" customWidth="1"/>
    <col min="10499" max="10499" width="16.5703125" style="38" customWidth="1"/>
    <col min="10500" max="10503" width="1" style="38" customWidth="1"/>
    <col min="10504" max="10504" width="14.7109375" style="38" customWidth="1"/>
    <col min="10505" max="10506" width="1" style="38" customWidth="1"/>
    <col min="10507" max="10531" width="0" style="38" hidden="1" customWidth="1"/>
    <col min="10532" max="10533" width="1" style="38" customWidth="1"/>
    <col min="10534" max="10534" width="17.85546875" style="38" customWidth="1"/>
    <col min="10535" max="10536" width="1" style="38" customWidth="1"/>
    <col min="10537" max="10566" width="0" style="38" hidden="1" customWidth="1"/>
    <col min="10567" max="10568" width="1" style="38" customWidth="1"/>
    <col min="10569" max="10569" width="17.85546875" style="38" customWidth="1"/>
    <col min="10570" max="10572" width="1" style="38" customWidth="1"/>
    <col min="10573" max="10573" width="1.85546875" style="38" customWidth="1"/>
    <col min="10574" max="10574" width="11.28515625" style="38" bestFit="1" customWidth="1"/>
    <col min="10575" max="10575" width="10" style="38" customWidth="1"/>
    <col min="10576" max="10576" width="10.42578125" style="38" bestFit="1" customWidth="1"/>
    <col min="10577" max="10577" width="10" style="38" customWidth="1"/>
    <col min="10578" max="10579" width="10" style="38"/>
    <col min="10580" max="10580" width="13.42578125" style="38" bestFit="1" customWidth="1"/>
    <col min="10581" max="10682" width="10" style="38"/>
    <col min="10683" max="10685" width="0" style="38" hidden="1" customWidth="1"/>
    <col min="10686" max="10686" width="64.85546875" style="38" customWidth="1"/>
    <col min="10687" max="10687" width="7" style="38" customWidth="1"/>
    <col min="10688" max="10689" width="1" style="38" customWidth="1"/>
    <col min="10690" max="10690" width="15.140625" style="38" customWidth="1"/>
    <col min="10691" max="10692" width="1" style="38" customWidth="1"/>
    <col min="10693" max="10717" width="0" style="38" hidden="1" customWidth="1"/>
    <col min="10718" max="10719" width="1" style="38" customWidth="1"/>
    <col min="10720" max="10720" width="17.85546875" style="38" customWidth="1"/>
    <col min="10721" max="10722" width="1" style="38" customWidth="1"/>
    <col min="10723" max="10752" width="0" style="38" hidden="1" customWidth="1"/>
    <col min="10753" max="10754" width="1" style="38" customWidth="1"/>
    <col min="10755" max="10755" width="16.5703125" style="38" customWidth="1"/>
    <col min="10756" max="10759" width="1" style="38" customWidth="1"/>
    <col min="10760" max="10760" width="14.7109375" style="38" customWidth="1"/>
    <col min="10761" max="10762" width="1" style="38" customWidth="1"/>
    <col min="10763" max="10787" width="0" style="38" hidden="1" customWidth="1"/>
    <col min="10788" max="10789" width="1" style="38" customWidth="1"/>
    <col min="10790" max="10790" width="17.85546875" style="38" customWidth="1"/>
    <col min="10791" max="10792" width="1" style="38" customWidth="1"/>
    <col min="10793" max="10822" width="0" style="38" hidden="1" customWidth="1"/>
    <col min="10823" max="10824" width="1" style="38" customWidth="1"/>
    <col min="10825" max="10825" width="17.85546875" style="38" customWidth="1"/>
    <col min="10826" max="10828" width="1" style="38" customWidth="1"/>
    <col min="10829" max="10829" width="1.85546875" style="38" customWidth="1"/>
    <col min="10830" max="10830" width="11.28515625" style="38" bestFit="1" customWidth="1"/>
    <col min="10831" max="10831" width="10" style="38" customWidth="1"/>
    <col min="10832" max="10832" width="10.42578125" style="38" bestFit="1" customWidth="1"/>
    <col min="10833" max="10833" width="10" style="38" customWidth="1"/>
    <col min="10834" max="10835" width="10" style="38"/>
    <col min="10836" max="10836" width="13.42578125" style="38" bestFit="1" customWidth="1"/>
    <col min="10837" max="10938" width="10" style="38"/>
    <col min="10939" max="10941" width="0" style="38" hidden="1" customWidth="1"/>
    <col min="10942" max="10942" width="64.85546875" style="38" customWidth="1"/>
    <col min="10943" max="10943" width="7" style="38" customWidth="1"/>
    <col min="10944" max="10945" width="1" style="38" customWidth="1"/>
    <col min="10946" max="10946" width="15.140625" style="38" customWidth="1"/>
    <col min="10947" max="10948" width="1" style="38" customWidth="1"/>
    <col min="10949" max="10973" width="0" style="38" hidden="1" customWidth="1"/>
    <col min="10974" max="10975" width="1" style="38" customWidth="1"/>
    <col min="10976" max="10976" width="17.85546875" style="38" customWidth="1"/>
    <col min="10977" max="10978" width="1" style="38" customWidth="1"/>
    <col min="10979" max="11008" width="0" style="38" hidden="1" customWidth="1"/>
    <col min="11009" max="11010" width="1" style="38" customWidth="1"/>
    <col min="11011" max="11011" width="16.5703125" style="38" customWidth="1"/>
    <col min="11012" max="11015" width="1" style="38" customWidth="1"/>
    <col min="11016" max="11016" width="14.7109375" style="38" customWidth="1"/>
    <col min="11017" max="11018" width="1" style="38" customWidth="1"/>
    <col min="11019" max="11043" width="0" style="38" hidden="1" customWidth="1"/>
    <col min="11044" max="11045" width="1" style="38" customWidth="1"/>
    <col min="11046" max="11046" width="17.85546875" style="38" customWidth="1"/>
    <col min="11047" max="11048" width="1" style="38" customWidth="1"/>
    <col min="11049" max="11078" width="0" style="38" hidden="1" customWidth="1"/>
    <col min="11079" max="11080" width="1" style="38" customWidth="1"/>
    <col min="11081" max="11081" width="17.85546875" style="38" customWidth="1"/>
    <col min="11082" max="11084" width="1" style="38" customWidth="1"/>
    <col min="11085" max="11085" width="1.85546875" style="38" customWidth="1"/>
    <col min="11086" max="11086" width="11.28515625" style="38" bestFit="1" customWidth="1"/>
    <col min="11087" max="11087" width="10" style="38" customWidth="1"/>
    <col min="11088" max="11088" width="10.42578125" style="38" bestFit="1" customWidth="1"/>
    <col min="11089" max="11089" width="10" style="38" customWidth="1"/>
    <col min="11090" max="11091" width="10" style="38"/>
    <col min="11092" max="11092" width="13.42578125" style="38" bestFit="1" customWidth="1"/>
    <col min="11093" max="11194" width="10" style="38"/>
    <col min="11195" max="11197" width="0" style="38" hidden="1" customWidth="1"/>
    <col min="11198" max="11198" width="64.85546875" style="38" customWidth="1"/>
    <col min="11199" max="11199" width="7" style="38" customWidth="1"/>
    <col min="11200" max="11201" width="1" style="38" customWidth="1"/>
    <col min="11202" max="11202" width="15.140625" style="38" customWidth="1"/>
    <col min="11203" max="11204" width="1" style="38" customWidth="1"/>
    <col min="11205" max="11229" width="0" style="38" hidden="1" customWidth="1"/>
    <col min="11230" max="11231" width="1" style="38" customWidth="1"/>
    <col min="11232" max="11232" width="17.85546875" style="38" customWidth="1"/>
    <col min="11233" max="11234" width="1" style="38" customWidth="1"/>
    <col min="11235" max="11264" width="0" style="38" hidden="1" customWidth="1"/>
    <col min="11265" max="11266" width="1" style="38" customWidth="1"/>
    <col min="11267" max="11267" width="16.5703125" style="38" customWidth="1"/>
    <col min="11268" max="11271" width="1" style="38" customWidth="1"/>
    <col min="11272" max="11272" width="14.7109375" style="38" customWidth="1"/>
    <col min="11273" max="11274" width="1" style="38" customWidth="1"/>
    <col min="11275" max="11299" width="0" style="38" hidden="1" customWidth="1"/>
    <col min="11300" max="11301" width="1" style="38" customWidth="1"/>
    <col min="11302" max="11302" width="17.85546875" style="38" customWidth="1"/>
    <col min="11303" max="11304" width="1" style="38" customWidth="1"/>
    <col min="11305" max="11334" width="0" style="38" hidden="1" customWidth="1"/>
    <col min="11335" max="11336" width="1" style="38" customWidth="1"/>
    <col min="11337" max="11337" width="17.85546875" style="38" customWidth="1"/>
    <col min="11338" max="11340" width="1" style="38" customWidth="1"/>
    <col min="11341" max="11341" width="1.85546875" style="38" customWidth="1"/>
    <col min="11342" max="11342" width="11.28515625" style="38" bestFit="1" customWidth="1"/>
    <col min="11343" max="11343" width="10" style="38" customWidth="1"/>
    <col min="11344" max="11344" width="10.42578125" style="38" bestFit="1" customWidth="1"/>
    <col min="11345" max="11345" width="10" style="38" customWidth="1"/>
    <col min="11346" max="11347" width="10" style="38"/>
    <col min="11348" max="11348" width="13.42578125" style="38" bestFit="1" customWidth="1"/>
    <col min="11349" max="11450" width="10" style="38"/>
    <col min="11451" max="11453" width="0" style="38" hidden="1" customWidth="1"/>
    <col min="11454" max="11454" width="64.85546875" style="38" customWidth="1"/>
    <col min="11455" max="11455" width="7" style="38" customWidth="1"/>
    <col min="11456" max="11457" width="1" style="38" customWidth="1"/>
    <col min="11458" max="11458" width="15.140625" style="38" customWidth="1"/>
    <col min="11459" max="11460" width="1" style="38" customWidth="1"/>
    <col min="11461" max="11485" width="0" style="38" hidden="1" customWidth="1"/>
    <col min="11486" max="11487" width="1" style="38" customWidth="1"/>
    <col min="11488" max="11488" width="17.85546875" style="38" customWidth="1"/>
    <col min="11489" max="11490" width="1" style="38" customWidth="1"/>
    <col min="11491" max="11520" width="0" style="38" hidden="1" customWidth="1"/>
    <col min="11521" max="11522" width="1" style="38" customWidth="1"/>
    <col min="11523" max="11523" width="16.5703125" style="38" customWidth="1"/>
    <col min="11524" max="11527" width="1" style="38" customWidth="1"/>
    <col min="11528" max="11528" width="14.7109375" style="38" customWidth="1"/>
    <col min="11529" max="11530" width="1" style="38" customWidth="1"/>
    <col min="11531" max="11555" width="0" style="38" hidden="1" customWidth="1"/>
    <col min="11556" max="11557" width="1" style="38" customWidth="1"/>
    <col min="11558" max="11558" width="17.85546875" style="38" customWidth="1"/>
    <col min="11559" max="11560" width="1" style="38" customWidth="1"/>
    <col min="11561" max="11590" width="0" style="38" hidden="1" customWidth="1"/>
    <col min="11591" max="11592" width="1" style="38" customWidth="1"/>
    <col min="11593" max="11593" width="17.85546875" style="38" customWidth="1"/>
    <col min="11594" max="11596" width="1" style="38" customWidth="1"/>
    <col min="11597" max="11597" width="1.85546875" style="38" customWidth="1"/>
    <col min="11598" max="11598" width="11.28515625" style="38" bestFit="1" customWidth="1"/>
    <col min="11599" max="11599" width="10" style="38" customWidth="1"/>
    <col min="11600" max="11600" width="10.42578125" style="38" bestFit="1" customWidth="1"/>
    <col min="11601" max="11601" width="10" style="38" customWidth="1"/>
    <col min="11602" max="11603" width="10" style="38"/>
    <col min="11604" max="11604" width="13.42578125" style="38" bestFit="1" customWidth="1"/>
    <col min="11605" max="11706" width="10" style="38"/>
    <col min="11707" max="11709" width="0" style="38" hidden="1" customWidth="1"/>
    <col min="11710" max="11710" width="64.85546875" style="38" customWidth="1"/>
    <col min="11711" max="11711" width="7" style="38" customWidth="1"/>
    <col min="11712" max="11713" width="1" style="38" customWidth="1"/>
    <col min="11714" max="11714" width="15.140625" style="38" customWidth="1"/>
    <col min="11715" max="11716" width="1" style="38" customWidth="1"/>
    <col min="11717" max="11741" width="0" style="38" hidden="1" customWidth="1"/>
    <col min="11742" max="11743" width="1" style="38" customWidth="1"/>
    <col min="11744" max="11744" width="17.85546875" style="38" customWidth="1"/>
    <col min="11745" max="11746" width="1" style="38" customWidth="1"/>
    <col min="11747" max="11776" width="0" style="38" hidden="1" customWidth="1"/>
    <col min="11777" max="11778" width="1" style="38" customWidth="1"/>
    <col min="11779" max="11779" width="16.5703125" style="38" customWidth="1"/>
    <col min="11780" max="11783" width="1" style="38" customWidth="1"/>
    <col min="11784" max="11784" width="14.7109375" style="38" customWidth="1"/>
    <col min="11785" max="11786" width="1" style="38" customWidth="1"/>
    <col min="11787" max="11811" width="0" style="38" hidden="1" customWidth="1"/>
    <col min="11812" max="11813" width="1" style="38" customWidth="1"/>
    <col min="11814" max="11814" width="17.85546875" style="38" customWidth="1"/>
    <col min="11815" max="11816" width="1" style="38" customWidth="1"/>
    <col min="11817" max="11846" width="0" style="38" hidden="1" customWidth="1"/>
    <col min="11847" max="11848" width="1" style="38" customWidth="1"/>
    <col min="11849" max="11849" width="17.85546875" style="38" customWidth="1"/>
    <col min="11850" max="11852" width="1" style="38" customWidth="1"/>
    <col min="11853" max="11853" width="1.85546875" style="38" customWidth="1"/>
    <col min="11854" max="11854" width="11.28515625" style="38" bestFit="1" customWidth="1"/>
    <col min="11855" max="11855" width="10" style="38" customWidth="1"/>
    <col min="11856" max="11856" width="10.42578125" style="38" bestFit="1" customWidth="1"/>
    <col min="11857" max="11857" width="10" style="38" customWidth="1"/>
    <col min="11858" max="11859" width="10" style="38"/>
    <col min="11860" max="11860" width="13.42578125" style="38" bestFit="1" customWidth="1"/>
    <col min="11861" max="11962" width="10" style="38"/>
    <col min="11963" max="11965" width="0" style="38" hidden="1" customWidth="1"/>
    <col min="11966" max="11966" width="64.85546875" style="38" customWidth="1"/>
    <col min="11967" max="11967" width="7" style="38" customWidth="1"/>
    <col min="11968" max="11969" width="1" style="38" customWidth="1"/>
    <col min="11970" max="11970" width="15.140625" style="38" customWidth="1"/>
    <col min="11971" max="11972" width="1" style="38" customWidth="1"/>
    <col min="11973" max="11997" width="0" style="38" hidden="1" customWidth="1"/>
    <col min="11998" max="11999" width="1" style="38" customWidth="1"/>
    <col min="12000" max="12000" width="17.85546875" style="38" customWidth="1"/>
    <col min="12001" max="12002" width="1" style="38" customWidth="1"/>
    <col min="12003" max="12032" width="0" style="38" hidden="1" customWidth="1"/>
    <col min="12033" max="12034" width="1" style="38" customWidth="1"/>
    <col min="12035" max="12035" width="16.5703125" style="38" customWidth="1"/>
    <col min="12036" max="12039" width="1" style="38" customWidth="1"/>
    <col min="12040" max="12040" width="14.7109375" style="38" customWidth="1"/>
    <col min="12041" max="12042" width="1" style="38" customWidth="1"/>
    <col min="12043" max="12067" width="0" style="38" hidden="1" customWidth="1"/>
    <col min="12068" max="12069" width="1" style="38" customWidth="1"/>
    <col min="12070" max="12070" width="17.85546875" style="38" customWidth="1"/>
    <col min="12071" max="12072" width="1" style="38" customWidth="1"/>
    <col min="12073" max="12102" width="0" style="38" hidden="1" customWidth="1"/>
    <col min="12103" max="12104" width="1" style="38" customWidth="1"/>
    <col min="12105" max="12105" width="17.85546875" style="38" customWidth="1"/>
    <col min="12106" max="12108" width="1" style="38" customWidth="1"/>
    <col min="12109" max="12109" width="1.85546875" style="38" customWidth="1"/>
    <col min="12110" max="12110" width="11.28515625" style="38" bestFit="1" customWidth="1"/>
    <col min="12111" max="12111" width="10" style="38" customWidth="1"/>
    <col min="12112" max="12112" width="10.42578125" style="38" bestFit="1" customWidth="1"/>
    <col min="12113" max="12113" width="10" style="38" customWidth="1"/>
    <col min="12114" max="12115" width="10" style="38"/>
    <col min="12116" max="12116" width="13.42578125" style="38" bestFit="1" customWidth="1"/>
    <col min="12117" max="12218" width="10" style="38"/>
    <col min="12219" max="12221" width="0" style="38" hidden="1" customWidth="1"/>
    <col min="12222" max="12222" width="64.85546875" style="38" customWidth="1"/>
    <col min="12223" max="12223" width="7" style="38" customWidth="1"/>
    <col min="12224" max="12225" width="1" style="38" customWidth="1"/>
    <col min="12226" max="12226" width="15.140625" style="38" customWidth="1"/>
    <col min="12227" max="12228" width="1" style="38" customWidth="1"/>
    <col min="12229" max="12253" width="0" style="38" hidden="1" customWidth="1"/>
    <col min="12254" max="12255" width="1" style="38" customWidth="1"/>
    <col min="12256" max="12256" width="17.85546875" style="38" customWidth="1"/>
    <col min="12257" max="12258" width="1" style="38" customWidth="1"/>
    <col min="12259" max="12288" width="0" style="38" hidden="1" customWidth="1"/>
    <col min="12289" max="12290" width="1" style="38" customWidth="1"/>
    <col min="12291" max="12291" width="16.5703125" style="38" customWidth="1"/>
    <col min="12292" max="12295" width="1" style="38" customWidth="1"/>
    <col min="12296" max="12296" width="14.7109375" style="38" customWidth="1"/>
    <col min="12297" max="12298" width="1" style="38" customWidth="1"/>
    <col min="12299" max="12323" width="0" style="38" hidden="1" customWidth="1"/>
    <col min="12324" max="12325" width="1" style="38" customWidth="1"/>
    <col min="12326" max="12326" width="17.85546875" style="38" customWidth="1"/>
    <col min="12327" max="12328" width="1" style="38" customWidth="1"/>
    <col min="12329" max="12358" width="0" style="38" hidden="1" customWidth="1"/>
    <col min="12359" max="12360" width="1" style="38" customWidth="1"/>
    <col min="12361" max="12361" width="17.85546875" style="38" customWidth="1"/>
    <col min="12362" max="12364" width="1" style="38" customWidth="1"/>
    <col min="12365" max="12365" width="1.85546875" style="38" customWidth="1"/>
    <col min="12366" max="12366" width="11.28515625" style="38" bestFit="1" customWidth="1"/>
    <col min="12367" max="12367" width="10" style="38" customWidth="1"/>
    <col min="12368" max="12368" width="10.42578125" style="38" bestFit="1" customWidth="1"/>
    <col min="12369" max="12369" width="10" style="38" customWidth="1"/>
    <col min="12370" max="12371" width="10" style="38"/>
    <col min="12372" max="12372" width="13.42578125" style="38" bestFit="1" customWidth="1"/>
    <col min="12373" max="12474" width="10" style="38"/>
    <col min="12475" max="12477" width="0" style="38" hidden="1" customWidth="1"/>
    <col min="12478" max="12478" width="64.85546875" style="38" customWidth="1"/>
    <col min="12479" max="12479" width="7" style="38" customWidth="1"/>
    <col min="12480" max="12481" width="1" style="38" customWidth="1"/>
    <col min="12482" max="12482" width="15.140625" style="38" customWidth="1"/>
    <col min="12483" max="12484" width="1" style="38" customWidth="1"/>
    <col min="12485" max="12509" width="0" style="38" hidden="1" customWidth="1"/>
    <col min="12510" max="12511" width="1" style="38" customWidth="1"/>
    <col min="12512" max="12512" width="17.85546875" style="38" customWidth="1"/>
    <col min="12513" max="12514" width="1" style="38" customWidth="1"/>
    <col min="12515" max="12544" width="0" style="38" hidden="1" customWidth="1"/>
    <col min="12545" max="12546" width="1" style="38" customWidth="1"/>
    <col min="12547" max="12547" width="16.5703125" style="38" customWidth="1"/>
    <col min="12548" max="12551" width="1" style="38" customWidth="1"/>
    <col min="12552" max="12552" width="14.7109375" style="38" customWidth="1"/>
    <col min="12553" max="12554" width="1" style="38" customWidth="1"/>
    <col min="12555" max="12579" width="0" style="38" hidden="1" customWidth="1"/>
    <col min="12580" max="12581" width="1" style="38" customWidth="1"/>
    <col min="12582" max="12582" width="17.85546875" style="38" customWidth="1"/>
    <col min="12583" max="12584" width="1" style="38" customWidth="1"/>
    <col min="12585" max="12614" width="0" style="38" hidden="1" customWidth="1"/>
    <col min="12615" max="12616" width="1" style="38" customWidth="1"/>
    <col min="12617" max="12617" width="17.85546875" style="38" customWidth="1"/>
    <col min="12618" max="12620" width="1" style="38" customWidth="1"/>
    <col min="12621" max="12621" width="1.85546875" style="38" customWidth="1"/>
    <col min="12622" max="12622" width="11.28515625" style="38" bestFit="1" customWidth="1"/>
    <col min="12623" max="12623" width="10" style="38" customWidth="1"/>
    <col min="12624" max="12624" width="10.42578125" style="38" bestFit="1" customWidth="1"/>
    <col min="12625" max="12625" width="10" style="38" customWidth="1"/>
    <col min="12626" max="12627" width="10" style="38"/>
    <col min="12628" max="12628" width="13.42578125" style="38" bestFit="1" customWidth="1"/>
    <col min="12629" max="12730" width="10" style="38"/>
    <col min="12731" max="12733" width="0" style="38" hidden="1" customWidth="1"/>
    <col min="12734" max="12734" width="64.85546875" style="38" customWidth="1"/>
    <col min="12735" max="12735" width="7" style="38" customWidth="1"/>
    <col min="12736" max="12737" width="1" style="38" customWidth="1"/>
    <col min="12738" max="12738" width="15.140625" style="38" customWidth="1"/>
    <col min="12739" max="12740" width="1" style="38" customWidth="1"/>
    <col min="12741" max="12765" width="0" style="38" hidden="1" customWidth="1"/>
    <col min="12766" max="12767" width="1" style="38" customWidth="1"/>
    <col min="12768" max="12768" width="17.85546875" style="38" customWidth="1"/>
    <col min="12769" max="12770" width="1" style="38" customWidth="1"/>
    <col min="12771" max="12800" width="0" style="38" hidden="1" customWidth="1"/>
    <col min="12801" max="12802" width="1" style="38" customWidth="1"/>
    <col min="12803" max="12803" width="16.5703125" style="38" customWidth="1"/>
    <col min="12804" max="12807" width="1" style="38" customWidth="1"/>
    <col min="12808" max="12808" width="14.7109375" style="38" customWidth="1"/>
    <col min="12809" max="12810" width="1" style="38" customWidth="1"/>
    <col min="12811" max="12835" width="0" style="38" hidden="1" customWidth="1"/>
    <col min="12836" max="12837" width="1" style="38" customWidth="1"/>
    <col min="12838" max="12838" width="17.85546875" style="38" customWidth="1"/>
    <col min="12839" max="12840" width="1" style="38" customWidth="1"/>
    <col min="12841" max="12870" width="0" style="38" hidden="1" customWidth="1"/>
    <col min="12871" max="12872" width="1" style="38" customWidth="1"/>
    <col min="12873" max="12873" width="17.85546875" style="38" customWidth="1"/>
    <col min="12874" max="12876" width="1" style="38" customWidth="1"/>
    <col min="12877" max="12877" width="1.85546875" style="38" customWidth="1"/>
    <col min="12878" max="12878" width="11.28515625" style="38" bestFit="1" customWidth="1"/>
    <col min="12879" max="12879" width="10" style="38" customWidth="1"/>
    <col min="12880" max="12880" width="10.42578125" style="38" bestFit="1" customWidth="1"/>
    <col min="12881" max="12881" width="10" style="38" customWidth="1"/>
    <col min="12882" max="12883" width="10" style="38"/>
    <col min="12884" max="12884" width="13.42578125" style="38" bestFit="1" customWidth="1"/>
    <col min="12885" max="12986" width="10" style="38"/>
    <col min="12987" max="12989" width="0" style="38" hidden="1" customWidth="1"/>
    <col min="12990" max="12990" width="64.85546875" style="38" customWidth="1"/>
    <col min="12991" max="12991" width="7" style="38" customWidth="1"/>
    <col min="12992" max="12993" width="1" style="38" customWidth="1"/>
    <col min="12994" max="12994" width="15.140625" style="38" customWidth="1"/>
    <col min="12995" max="12996" width="1" style="38" customWidth="1"/>
    <col min="12997" max="13021" width="0" style="38" hidden="1" customWidth="1"/>
    <col min="13022" max="13023" width="1" style="38" customWidth="1"/>
    <col min="13024" max="13024" width="17.85546875" style="38" customWidth="1"/>
    <col min="13025" max="13026" width="1" style="38" customWidth="1"/>
    <col min="13027" max="13056" width="0" style="38" hidden="1" customWidth="1"/>
    <col min="13057" max="13058" width="1" style="38" customWidth="1"/>
    <col min="13059" max="13059" width="16.5703125" style="38" customWidth="1"/>
    <col min="13060" max="13063" width="1" style="38" customWidth="1"/>
    <col min="13064" max="13064" width="14.7109375" style="38" customWidth="1"/>
    <col min="13065" max="13066" width="1" style="38" customWidth="1"/>
    <col min="13067" max="13091" width="0" style="38" hidden="1" customWidth="1"/>
    <col min="13092" max="13093" width="1" style="38" customWidth="1"/>
    <col min="13094" max="13094" width="17.85546875" style="38" customWidth="1"/>
    <col min="13095" max="13096" width="1" style="38" customWidth="1"/>
    <col min="13097" max="13126" width="0" style="38" hidden="1" customWidth="1"/>
    <col min="13127" max="13128" width="1" style="38" customWidth="1"/>
    <col min="13129" max="13129" width="17.85546875" style="38" customWidth="1"/>
    <col min="13130" max="13132" width="1" style="38" customWidth="1"/>
    <col min="13133" max="13133" width="1.85546875" style="38" customWidth="1"/>
    <col min="13134" max="13134" width="11.28515625" style="38" bestFit="1" customWidth="1"/>
    <col min="13135" max="13135" width="10" style="38" customWidth="1"/>
    <col min="13136" max="13136" width="10.42578125" style="38" bestFit="1" customWidth="1"/>
    <col min="13137" max="13137" width="10" style="38" customWidth="1"/>
    <col min="13138" max="13139" width="10" style="38"/>
    <col min="13140" max="13140" width="13.42578125" style="38" bestFit="1" customWidth="1"/>
    <col min="13141" max="13242" width="10" style="38"/>
    <col min="13243" max="13245" width="0" style="38" hidden="1" customWidth="1"/>
    <col min="13246" max="13246" width="64.85546875" style="38" customWidth="1"/>
    <col min="13247" max="13247" width="7" style="38" customWidth="1"/>
    <col min="13248" max="13249" width="1" style="38" customWidth="1"/>
    <col min="13250" max="13250" width="15.140625" style="38" customWidth="1"/>
    <col min="13251" max="13252" width="1" style="38" customWidth="1"/>
    <col min="13253" max="13277" width="0" style="38" hidden="1" customWidth="1"/>
    <col min="13278" max="13279" width="1" style="38" customWidth="1"/>
    <col min="13280" max="13280" width="17.85546875" style="38" customWidth="1"/>
    <col min="13281" max="13282" width="1" style="38" customWidth="1"/>
    <col min="13283" max="13312" width="0" style="38" hidden="1" customWidth="1"/>
    <col min="13313" max="13314" width="1" style="38" customWidth="1"/>
    <col min="13315" max="13315" width="16.5703125" style="38" customWidth="1"/>
    <col min="13316" max="13319" width="1" style="38" customWidth="1"/>
    <col min="13320" max="13320" width="14.7109375" style="38" customWidth="1"/>
    <col min="13321" max="13322" width="1" style="38" customWidth="1"/>
    <col min="13323" max="13347" width="0" style="38" hidden="1" customWidth="1"/>
    <col min="13348" max="13349" width="1" style="38" customWidth="1"/>
    <col min="13350" max="13350" width="17.85546875" style="38" customWidth="1"/>
    <col min="13351" max="13352" width="1" style="38" customWidth="1"/>
    <col min="13353" max="13382" width="0" style="38" hidden="1" customWidth="1"/>
    <col min="13383" max="13384" width="1" style="38" customWidth="1"/>
    <col min="13385" max="13385" width="17.85546875" style="38" customWidth="1"/>
    <col min="13386" max="13388" width="1" style="38" customWidth="1"/>
    <col min="13389" max="13389" width="1.85546875" style="38" customWidth="1"/>
    <col min="13390" max="13390" width="11.28515625" style="38" bestFit="1" customWidth="1"/>
    <col min="13391" max="13391" width="10" style="38" customWidth="1"/>
    <col min="13392" max="13392" width="10.42578125" style="38" bestFit="1" customWidth="1"/>
    <col min="13393" max="13393" width="10" style="38" customWidth="1"/>
    <col min="13394" max="13395" width="10" style="38"/>
    <col min="13396" max="13396" width="13.42578125" style="38" bestFit="1" customWidth="1"/>
    <col min="13397" max="13498" width="10" style="38"/>
    <col min="13499" max="13501" width="0" style="38" hidden="1" customWidth="1"/>
    <col min="13502" max="13502" width="64.85546875" style="38" customWidth="1"/>
    <col min="13503" max="13503" width="7" style="38" customWidth="1"/>
    <col min="13504" max="13505" width="1" style="38" customWidth="1"/>
    <col min="13506" max="13506" width="15.140625" style="38" customWidth="1"/>
    <col min="13507" max="13508" width="1" style="38" customWidth="1"/>
    <col min="13509" max="13533" width="0" style="38" hidden="1" customWidth="1"/>
    <col min="13534" max="13535" width="1" style="38" customWidth="1"/>
    <col min="13536" max="13536" width="17.85546875" style="38" customWidth="1"/>
    <col min="13537" max="13538" width="1" style="38" customWidth="1"/>
    <col min="13539" max="13568" width="0" style="38" hidden="1" customWidth="1"/>
    <col min="13569" max="13570" width="1" style="38" customWidth="1"/>
    <col min="13571" max="13571" width="16.5703125" style="38" customWidth="1"/>
    <col min="13572" max="13575" width="1" style="38" customWidth="1"/>
    <col min="13576" max="13576" width="14.7109375" style="38" customWidth="1"/>
    <col min="13577" max="13578" width="1" style="38" customWidth="1"/>
    <col min="13579" max="13603" width="0" style="38" hidden="1" customWidth="1"/>
    <col min="13604" max="13605" width="1" style="38" customWidth="1"/>
    <col min="13606" max="13606" width="17.85546875" style="38" customWidth="1"/>
    <col min="13607" max="13608" width="1" style="38" customWidth="1"/>
    <col min="13609" max="13638" width="0" style="38" hidden="1" customWidth="1"/>
    <col min="13639" max="13640" width="1" style="38" customWidth="1"/>
    <col min="13641" max="13641" width="17.85546875" style="38" customWidth="1"/>
    <col min="13642" max="13644" width="1" style="38" customWidth="1"/>
    <col min="13645" max="13645" width="1.85546875" style="38" customWidth="1"/>
    <col min="13646" max="13646" width="11.28515625" style="38" bestFit="1" customWidth="1"/>
    <col min="13647" max="13647" width="10" style="38" customWidth="1"/>
    <col min="13648" max="13648" width="10.42578125" style="38" bestFit="1" customWidth="1"/>
    <col min="13649" max="13649" width="10" style="38" customWidth="1"/>
    <col min="13650" max="13651" width="10" style="38"/>
    <col min="13652" max="13652" width="13.42578125" style="38" bestFit="1" customWidth="1"/>
    <col min="13653" max="13754" width="10" style="38"/>
    <col min="13755" max="13757" width="0" style="38" hidden="1" customWidth="1"/>
    <col min="13758" max="13758" width="64.85546875" style="38" customWidth="1"/>
    <col min="13759" max="13759" width="7" style="38" customWidth="1"/>
    <col min="13760" max="13761" width="1" style="38" customWidth="1"/>
    <col min="13762" max="13762" width="15.140625" style="38" customWidth="1"/>
    <col min="13763" max="13764" width="1" style="38" customWidth="1"/>
    <col min="13765" max="13789" width="0" style="38" hidden="1" customWidth="1"/>
    <col min="13790" max="13791" width="1" style="38" customWidth="1"/>
    <col min="13792" max="13792" width="17.85546875" style="38" customWidth="1"/>
    <col min="13793" max="13794" width="1" style="38" customWidth="1"/>
    <col min="13795" max="13824" width="0" style="38" hidden="1" customWidth="1"/>
    <col min="13825" max="13826" width="1" style="38" customWidth="1"/>
    <col min="13827" max="13827" width="16.5703125" style="38" customWidth="1"/>
    <col min="13828" max="13831" width="1" style="38" customWidth="1"/>
    <col min="13832" max="13832" width="14.7109375" style="38" customWidth="1"/>
    <col min="13833" max="13834" width="1" style="38" customWidth="1"/>
    <col min="13835" max="13859" width="0" style="38" hidden="1" customWidth="1"/>
    <col min="13860" max="13861" width="1" style="38" customWidth="1"/>
    <col min="13862" max="13862" width="17.85546875" style="38" customWidth="1"/>
    <col min="13863" max="13864" width="1" style="38" customWidth="1"/>
    <col min="13865" max="13894" width="0" style="38" hidden="1" customWidth="1"/>
    <col min="13895" max="13896" width="1" style="38" customWidth="1"/>
    <col min="13897" max="13897" width="17.85546875" style="38" customWidth="1"/>
    <col min="13898" max="13900" width="1" style="38" customWidth="1"/>
    <col min="13901" max="13901" width="1.85546875" style="38" customWidth="1"/>
    <col min="13902" max="13902" width="11.28515625" style="38" bestFit="1" customWidth="1"/>
    <col min="13903" max="13903" width="10" style="38" customWidth="1"/>
    <col min="13904" max="13904" width="10.42578125" style="38" bestFit="1" customWidth="1"/>
    <col min="13905" max="13905" width="10" style="38" customWidth="1"/>
    <col min="13906" max="13907" width="10" style="38"/>
    <col min="13908" max="13908" width="13.42578125" style="38" bestFit="1" customWidth="1"/>
    <col min="13909" max="14010" width="10" style="38"/>
    <col min="14011" max="14013" width="0" style="38" hidden="1" customWidth="1"/>
    <col min="14014" max="14014" width="64.85546875" style="38" customWidth="1"/>
    <col min="14015" max="14015" width="7" style="38" customWidth="1"/>
    <col min="14016" max="14017" width="1" style="38" customWidth="1"/>
    <col min="14018" max="14018" width="15.140625" style="38" customWidth="1"/>
    <col min="14019" max="14020" width="1" style="38" customWidth="1"/>
    <col min="14021" max="14045" width="0" style="38" hidden="1" customWidth="1"/>
    <col min="14046" max="14047" width="1" style="38" customWidth="1"/>
    <col min="14048" max="14048" width="17.85546875" style="38" customWidth="1"/>
    <col min="14049" max="14050" width="1" style="38" customWidth="1"/>
    <col min="14051" max="14080" width="0" style="38" hidden="1" customWidth="1"/>
    <col min="14081" max="14082" width="1" style="38" customWidth="1"/>
    <col min="14083" max="14083" width="16.5703125" style="38" customWidth="1"/>
    <col min="14084" max="14087" width="1" style="38" customWidth="1"/>
    <col min="14088" max="14088" width="14.7109375" style="38" customWidth="1"/>
    <col min="14089" max="14090" width="1" style="38" customWidth="1"/>
    <col min="14091" max="14115" width="0" style="38" hidden="1" customWidth="1"/>
    <col min="14116" max="14117" width="1" style="38" customWidth="1"/>
    <col min="14118" max="14118" width="17.85546875" style="38" customWidth="1"/>
    <col min="14119" max="14120" width="1" style="38" customWidth="1"/>
    <col min="14121" max="14150" width="0" style="38" hidden="1" customWidth="1"/>
    <col min="14151" max="14152" width="1" style="38" customWidth="1"/>
    <col min="14153" max="14153" width="17.85546875" style="38" customWidth="1"/>
    <col min="14154" max="14156" width="1" style="38" customWidth="1"/>
    <col min="14157" max="14157" width="1.85546875" style="38" customWidth="1"/>
    <col min="14158" max="14158" width="11.28515625" style="38" bestFit="1" customWidth="1"/>
    <col min="14159" max="14159" width="10" style="38" customWidth="1"/>
    <col min="14160" max="14160" width="10.42578125" style="38" bestFit="1" customWidth="1"/>
    <col min="14161" max="14161" width="10" style="38" customWidth="1"/>
    <col min="14162" max="14163" width="10" style="38"/>
    <col min="14164" max="14164" width="13.42578125" style="38" bestFit="1" customWidth="1"/>
    <col min="14165" max="14266" width="10" style="38"/>
    <col min="14267" max="14269" width="0" style="38" hidden="1" customWidth="1"/>
    <col min="14270" max="14270" width="64.85546875" style="38" customWidth="1"/>
    <col min="14271" max="14271" width="7" style="38" customWidth="1"/>
    <col min="14272" max="14273" width="1" style="38" customWidth="1"/>
    <col min="14274" max="14274" width="15.140625" style="38" customWidth="1"/>
    <col min="14275" max="14276" width="1" style="38" customWidth="1"/>
    <col min="14277" max="14301" width="0" style="38" hidden="1" customWidth="1"/>
    <col min="14302" max="14303" width="1" style="38" customWidth="1"/>
    <col min="14304" max="14304" width="17.85546875" style="38" customWidth="1"/>
    <col min="14305" max="14306" width="1" style="38" customWidth="1"/>
    <col min="14307" max="14336" width="0" style="38" hidden="1" customWidth="1"/>
    <col min="14337" max="14338" width="1" style="38" customWidth="1"/>
    <col min="14339" max="14339" width="16.5703125" style="38" customWidth="1"/>
    <col min="14340" max="14343" width="1" style="38" customWidth="1"/>
    <col min="14344" max="14344" width="14.7109375" style="38" customWidth="1"/>
    <col min="14345" max="14346" width="1" style="38" customWidth="1"/>
    <col min="14347" max="14371" width="0" style="38" hidden="1" customWidth="1"/>
    <col min="14372" max="14373" width="1" style="38" customWidth="1"/>
    <col min="14374" max="14374" width="17.85546875" style="38" customWidth="1"/>
    <col min="14375" max="14376" width="1" style="38" customWidth="1"/>
    <col min="14377" max="14406" width="0" style="38" hidden="1" customWidth="1"/>
    <col min="14407" max="14408" width="1" style="38" customWidth="1"/>
    <col min="14409" max="14409" width="17.85546875" style="38" customWidth="1"/>
    <col min="14410" max="14412" width="1" style="38" customWidth="1"/>
    <col min="14413" max="14413" width="1.85546875" style="38" customWidth="1"/>
    <col min="14414" max="14414" width="11.28515625" style="38" bestFit="1" customWidth="1"/>
    <col min="14415" max="14415" width="10" style="38" customWidth="1"/>
    <col min="14416" max="14416" width="10.42578125" style="38" bestFit="1" customWidth="1"/>
    <col min="14417" max="14417" width="10" style="38" customWidth="1"/>
    <col min="14418" max="14419" width="10" style="38"/>
    <col min="14420" max="14420" width="13.42578125" style="38" bestFit="1" customWidth="1"/>
    <col min="14421" max="14522" width="10" style="38"/>
    <col min="14523" max="14525" width="0" style="38" hidden="1" customWidth="1"/>
    <col min="14526" max="14526" width="64.85546875" style="38" customWidth="1"/>
    <col min="14527" max="14527" width="7" style="38" customWidth="1"/>
    <col min="14528" max="14529" width="1" style="38" customWidth="1"/>
    <col min="14530" max="14530" width="15.140625" style="38" customWidth="1"/>
    <col min="14531" max="14532" width="1" style="38" customWidth="1"/>
    <col min="14533" max="14557" width="0" style="38" hidden="1" customWidth="1"/>
    <col min="14558" max="14559" width="1" style="38" customWidth="1"/>
    <col min="14560" max="14560" width="17.85546875" style="38" customWidth="1"/>
    <col min="14561" max="14562" width="1" style="38" customWidth="1"/>
    <col min="14563" max="14592" width="0" style="38" hidden="1" customWidth="1"/>
    <col min="14593" max="14594" width="1" style="38" customWidth="1"/>
    <col min="14595" max="14595" width="16.5703125" style="38" customWidth="1"/>
    <col min="14596" max="14599" width="1" style="38" customWidth="1"/>
    <col min="14600" max="14600" width="14.7109375" style="38" customWidth="1"/>
    <col min="14601" max="14602" width="1" style="38" customWidth="1"/>
    <col min="14603" max="14627" width="0" style="38" hidden="1" customWidth="1"/>
    <col min="14628" max="14629" width="1" style="38" customWidth="1"/>
    <col min="14630" max="14630" width="17.85546875" style="38" customWidth="1"/>
    <col min="14631" max="14632" width="1" style="38" customWidth="1"/>
    <col min="14633" max="14662" width="0" style="38" hidden="1" customWidth="1"/>
    <col min="14663" max="14664" width="1" style="38" customWidth="1"/>
    <col min="14665" max="14665" width="17.85546875" style="38" customWidth="1"/>
    <col min="14666" max="14668" width="1" style="38" customWidth="1"/>
    <col min="14669" max="14669" width="1.85546875" style="38" customWidth="1"/>
    <col min="14670" max="14670" width="11.28515625" style="38" bestFit="1" customWidth="1"/>
    <col min="14671" max="14671" width="10" style="38" customWidth="1"/>
    <col min="14672" max="14672" width="10.42578125" style="38" bestFit="1" customWidth="1"/>
    <col min="14673" max="14673" width="10" style="38" customWidth="1"/>
    <col min="14674" max="14675" width="10" style="38"/>
    <col min="14676" max="14676" width="13.42578125" style="38" bestFit="1" customWidth="1"/>
    <col min="14677" max="14778" width="10" style="38"/>
    <col min="14779" max="14781" width="0" style="38" hidden="1" customWidth="1"/>
    <col min="14782" max="14782" width="64.85546875" style="38" customWidth="1"/>
    <col min="14783" max="14783" width="7" style="38" customWidth="1"/>
    <col min="14784" max="14785" width="1" style="38" customWidth="1"/>
    <col min="14786" max="14786" width="15.140625" style="38" customWidth="1"/>
    <col min="14787" max="14788" width="1" style="38" customWidth="1"/>
    <col min="14789" max="14813" width="0" style="38" hidden="1" customWidth="1"/>
    <col min="14814" max="14815" width="1" style="38" customWidth="1"/>
    <col min="14816" max="14816" width="17.85546875" style="38" customWidth="1"/>
    <col min="14817" max="14818" width="1" style="38" customWidth="1"/>
    <col min="14819" max="14848" width="0" style="38" hidden="1" customWidth="1"/>
    <col min="14849" max="14850" width="1" style="38" customWidth="1"/>
    <col min="14851" max="14851" width="16.5703125" style="38" customWidth="1"/>
    <col min="14852" max="14855" width="1" style="38" customWidth="1"/>
    <col min="14856" max="14856" width="14.7109375" style="38" customWidth="1"/>
    <col min="14857" max="14858" width="1" style="38" customWidth="1"/>
    <col min="14859" max="14883" width="0" style="38" hidden="1" customWidth="1"/>
    <col min="14884" max="14885" width="1" style="38" customWidth="1"/>
    <col min="14886" max="14886" width="17.85546875" style="38" customWidth="1"/>
    <col min="14887" max="14888" width="1" style="38" customWidth="1"/>
    <col min="14889" max="14918" width="0" style="38" hidden="1" customWidth="1"/>
    <col min="14919" max="14920" width="1" style="38" customWidth="1"/>
    <col min="14921" max="14921" width="17.85546875" style="38" customWidth="1"/>
    <col min="14922" max="14924" width="1" style="38" customWidth="1"/>
    <col min="14925" max="14925" width="1.85546875" style="38" customWidth="1"/>
    <col min="14926" max="14926" width="11.28515625" style="38" bestFit="1" customWidth="1"/>
    <col min="14927" max="14927" width="10" style="38" customWidth="1"/>
    <col min="14928" max="14928" width="10.42578125" style="38" bestFit="1" customWidth="1"/>
    <col min="14929" max="14929" width="10" style="38" customWidth="1"/>
    <col min="14930" max="14931" width="10" style="38"/>
    <col min="14932" max="14932" width="13.42578125" style="38" bestFit="1" customWidth="1"/>
    <col min="14933" max="15034" width="10" style="38"/>
    <col min="15035" max="15037" width="0" style="38" hidden="1" customWidth="1"/>
    <col min="15038" max="15038" width="64.85546875" style="38" customWidth="1"/>
    <col min="15039" max="15039" width="7" style="38" customWidth="1"/>
    <col min="15040" max="15041" width="1" style="38" customWidth="1"/>
    <col min="15042" max="15042" width="15.140625" style="38" customWidth="1"/>
    <col min="15043" max="15044" width="1" style="38" customWidth="1"/>
    <col min="15045" max="15069" width="0" style="38" hidden="1" customWidth="1"/>
    <col min="15070" max="15071" width="1" style="38" customWidth="1"/>
    <col min="15072" max="15072" width="17.85546875" style="38" customWidth="1"/>
    <col min="15073" max="15074" width="1" style="38" customWidth="1"/>
    <col min="15075" max="15104" width="0" style="38" hidden="1" customWidth="1"/>
    <col min="15105" max="15106" width="1" style="38" customWidth="1"/>
    <col min="15107" max="15107" width="16.5703125" style="38" customWidth="1"/>
    <col min="15108" max="15111" width="1" style="38" customWidth="1"/>
    <col min="15112" max="15112" width="14.7109375" style="38" customWidth="1"/>
    <col min="15113" max="15114" width="1" style="38" customWidth="1"/>
    <col min="15115" max="15139" width="0" style="38" hidden="1" customWidth="1"/>
    <col min="15140" max="15141" width="1" style="38" customWidth="1"/>
    <col min="15142" max="15142" width="17.85546875" style="38" customWidth="1"/>
    <col min="15143" max="15144" width="1" style="38" customWidth="1"/>
    <col min="15145" max="15174" width="0" style="38" hidden="1" customWidth="1"/>
    <col min="15175" max="15176" width="1" style="38" customWidth="1"/>
    <col min="15177" max="15177" width="17.85546875" style="38" customWidth="1"/>
    <col min="15178" max="15180" width="1" style="38" customWidth="1"/>
    <col min="15181" max="15181" width="1.85546875" style="38" customWidth="1"/>
    <col min="15182" max="15182" width="11.28515625" style="38" bestFit="1" customWidth="1"/>
    <col min="15183" max="15183" width="10" style="38" customWidth="1"/>
    <col min="15184" max="15184" width="10.42578125" style="38" bestFit="1" customWidth="1"/>
    <col min="15185" max="15185" width="10" style="38" customWidth="1"/>
    <col min="15186" max="15187" width="10" style="38"/>
    <col min="15188" max="15188" width="13.42578125" style="38" bestFit="1" customWidth="1"/>
    <col min="15189" max="15290" width="10" style="38"/>
    <col min="15291" max="15293" width="0" style="38" hidden="1" customWidth="1"/>
    <col min="15294" max="15294" width="64.85546875" style="38" customWidth="1"/>
    <col min="15295" max="15295" width="7" style="38" customWidth="1"/>
    <col min="15296" max="15297" width="1" style="38" customWidth="1"/>
    <col min="15298" max="15298" width="15.140625" style="38" customWidth="1"/>
    <col min="15299" max="15300" width="1" style="38" customWidth="1"/>
    <col min="15301" max="15325" width="0" style="38" hidden="1" customWidth="1"/>
    <col min="15326" max="15327" width="1" style="38" customWidth="1"/>
    <col min="15328" max="15328" width="17.85546875" style="38" customWidth="1"/>
    <col min="15329" max="15330" width="1" style="38" customWidth="1"/>
    <col min="15331" max="15360" width="0" style="38" hidden="1" customWidth="1"/>
    <col min="15361" max="15362" width="1" style="38" customWidth="1"/>
    <col min="15363" max="15363" width="16.5703125" style="38" customWidth="1"/>
    <col min="15364" max="15367" width="1" style="38" customWidth="1"/>
    <col min="15368" max="15368" width="14.7109375" style="38" customWidth="1"/>
    <col min="15369" max="15370" width="1" style="38" customWidth="1"/>
    <col min="15371" max="15395" width="0" style="38" hidden="1" customWidth="1"/>
    <col min="15396" max="15397" width="1" style="38" customWidth="1"/>
    <col min="15398" max="15398" width="17.85546875" style="38" customWidth="1"/>
    <col min="15399" max="15400" width="1" style="38" customWidth="1"/>
    <col min="15401" max="15430" width="0" style="38" hidden="1" customWidth="1"/>
    <col min="15431" max="15432" width="1" style="38" customWidth="1"/>
    <col min="15433" max="15433" width="17.85546875" style="38" customWidth="1"/>
    <col min="15434" max="15436" width="1" style="38" customWidth="1"/>
    <col min="15437" max="15437" width="1.85546875" style="38" customWidth="1"/>
    <col min="15438" max="15438" width="11.28515625" style="38" bestFit="1" customWidth="1"/>
    <col min="15439" max="15439" width="10" style="38" customWidth="1"/>
    <col min="15440" max="15440" width="10.42578125" style="38" bestFit="1" customWidth="1"/>
    <col min="15441" max="15441" width="10" style="38" customWidth="1"/>
    <col min="15442" max="15443" width="10" style="38"/>
    <col min="15444" max="15444" width="13.42578125" style="38" bestFit="1" customWidth="1"/>
    <col min="15445" max="15546" width="10" style="38"/>
    <col min="15547" max="15549" width="0" style="38" hidden="1" customWidth="1"/>
    <col min="15550" max="15550" width="64.85546875" style="38" customWidth="1"/>
    <col min="15551" max="15551" width="7" style="38" customWidth="1"/>
    <col min="15552" max="15553" width="1" style="38" customWidth="1"/>
    <col min="15554" max="15554" width="15.140625" style="38" customWidth="1"/>
    <col min="15555" max="15556" width="1" style="38" customWidth="1"/>
    <col min="15557" max="15581" width="0" style="38" hidden="1" customWidth="1"/>
    <col min="15582" max="15583" width="1" style="38" customWidth="1"/>
    <col min="15584" max="15584" width="17.85546875" style="38" customWidth="1"/>
    <col min="15585" max="15586" width="1" style="38" customWidth="1"/>
    <col min="15587" max="15616" width="0" style="38" hidden="1" customWidth="1"/>
    <col min="15617" max="15618" width="1" style="38" customWidth="1"/>
    <col min="15619" max="15619" width="16.5703125" style="38" customWidth="1"/>
    <col min="15620" max="15623" width="1" style="38" customWidth="1"/>
    <col min="15624" max="15624" width="14.7109375" style="38" customWidth="1"/>
    <col min="15625" max="15626" width="1" style="38" customWidth="1"/>
    <col min="15627" max="15651" width="0" style="38" hidden="1" customWidth="1"/>
    <col min="15652" max="15653" width="1" style="38" customWidth="1"/>
    <col min="15654" max="15654" width="17.85546875" style="38" customWidth="1"/>
    <col min="15655" max="15656" width="1" style="38" customWidth="1"/>
    <col min="15657" max="15686" width="0" style="38" hidden="1" customWidth="1"/>
    <col min="15687" max="15688" width="1" style="38" customWidth="1"/>
    <col min="15689" max="15689" width="17.85546875" style="38" customWidth="1"/>
    <col min="15690" max="15692" width="1" style="38" customWidth="1"/>
    <col min="15693" max="15693" width="1.85546875" style="38" customWidth="1"/>
    <col min="15694" max="15694" width="11.28515625" style="38" bestFit="1" customWidth="1"/>
    <col min="15695" max="15695" width="10" style="38" customWidth="1"/>
    <col min="15696" max="15696" width="10.42578125" style="38" bestFit="1" customWidth="1"/>
    <col min="15697" max="15697" width="10" style="38" customWidth="1"/>
    <col min="15698" max="15699" width="10" style="38"/>
    <col min="15700" max="15700" width="13.42578125" style="38" bestFit="1" customWidth="1"/>
    <col min="15701" max="15802" width="10" style="38"/>
    <col min="15803" max="15805" width="0" style="38" hidden="1" customWidth="1"/>
    <col min="15806" max="15806" width="64.85546875" style="38" customWidth="1"/>
    <col min="15807" max="15807" width="7" style="38" customWidth="1"/>
    <col min="15808" max="15809" width="1" style="38" customWidth="1"/>
    <col min="15810" max="15810" width="15.140625" style="38" customWidth="1"/>
    <col min="15811" max="15812" width="1" style="38" customWidth="1"/>
    <col min="15813" max="15837" width="0" style="38" hidden="1" customWidth="1"/>
    <col min="15838" max="15839" width="1" style="38" customWidth="1"/>
    <col min="15840" max="15840" width="17.85546875" style="38" customWidth="1"/>
    <col min="15841" max="15842" width="1" style="38" customWidth="1"/>
    <col min="15843" max="15872" width="0" style="38" hidden="1" customWidth="1"/>
    <col min="15873" max="15874" width="1" style="38" customWidth="1"/>
    <col min="15875" max="15875" width="16.5703125" style="38" customWidth="1"/>
    <col min="15876" max="15879" width="1" style="38" customWidth="1"/>
    <col min="15880" max="15880" width="14.7109375" style="38" customWidth="1"/>
    <col min="15881" max="15882" width="1" style="38" customWidth="1"/>
    <col min="15883" max="15907" width="0" style="38" hidden="1" customWidth="1"/>
    <col min="15908" max="15909" width="1" style="38" customWidth="1"/>
    <col min="15910" max="15910" width="17.85546875" style="38" customWidth="1"/>
    <col min="15911" max="15912" width="1" style="38" customWidth="1"/>
    <col min="15913" max="15942" width="0" style="38" hidden="1" customWidth="1"/>
    <col min="15943" max="15944" width="1" style="38" customWidth="1"/>
    <col min="15945" max="15945" width="17.85546875" style="38" customWidth="1"/>
    <col min="15946" max="15948" width="1" style="38" customWidth="1"/>
    <col min="15949" max="15949" width="1.85546875" style="38" customWidth="1"/>
    <col min="15950" max="15950" width="11.28515625" style="38" bestFit="1" customWidth="1"/>
    <col min="15951" max="15951" width="10" style="38" customWidth="1"/>
    <col min="15952" max="15952" width="10.42578125" style="38" bestFit="1" customWidth="1"/>
    <col min="15953" max="15953" width="10" style="38" customWidth="1"/>
    <col min="15954" max="15955" width="10" style="38"/>
    <col min="15956" max="15956" width="13.42578125" style="38" bestFit="1" customWidth="1"/>
    <col min="15957" max="16058" width="10" style="38"/>
    <col min="16059" max="16061" width="0" style="38" hidden="1" customWidth="1"/>
    <col min="16062" max="16062" width="64.85546875" style="38" customWidth="1"/>
    <col min="16063" max="16063" width="7" style="38" customWidth="1"/>
    <col min="16064" max="16065" width="1" style="38" customWidth="1"/>
    <col min="16066" max="16066" width="15.140625" style="38" customWidth="1"/>
    <col min="16067" max="16068" width="1" style="38" customWidth="1"/>
    <col min="16069" max="16093" width="0" style="38" hidden="1" customWidth="1"/>
    <col min="16094" max="16095" width="1" style="38" customWidth="1"/>
    <col min="16096" max="16096" width="17.85546875" style="38" customWidth="1"/>
    <col min="16097" max="16098" width="1" style="38" customWidth="1"/>
    <col min="16099" max="16128" width="0" style="38" hidden="1" customWidth="1"/>
    <col min="16129" max="16130" width="1" style="38" customWidth="1"/>
    <col min="16131" max="16131" width="16.5703125" style="38" customWidth="1"/>
    <col min="16132" max="16135" width="1" style="38" customWidth="1"/>
    <col min="16136" max="16136" width="14.7109375" style="38" customWidth="1"/>
    <col min="16137" max="16138" width="1" style="38" customWidth="1"/>
    <col min="16139" max="16163" width="0" style="38" hidden="1" customWidth="1"/>
    <col min="16164" max="16165" width="1" style="38" customWidth="1"/>
    <col min="16166" max="16166" width="17.85546875" style="38" customWidth="1"/>
    <col min="16167" max="16168" width="1" style="38" customWidth="1"/>
    <col min="16169" max="16198" width="0" style="38" hidden="1" customWidth="1"/>
    <col min="16199" max="16200" width="1" style="38" customWidth="1"/>
    <col min="16201" max="16201" width="17.85546875" style="38" customWidth="1"/>
    <col min="16202" max="16204" width="1" style="38" customWidth="1"/>
    <col min="16205" max="16205" width="1.85546875" style="38" customWidth="1"/>
    <col min="16206" max="16206" width="11.28515625" style="38" bestFit="1" customWidth="1"/>
    <col min="16207" max="16207" width="10" style="38" customWidth="1"/>
    <col min="16208" max="16208" width="10.42578125" style="38" bestFit="1" customWidth="1"/>
    <col min="16209" max="16209" width="10" style="38" customWidth="1"/>
    <col min="16210" max="16211" width="10" style="38"/>
    <col min="16212" max="16212" width="13.42578125" style="38" bestFit="1" customWidth="1"/>
    <col min="16213" max="16384" width="10" style="38"/>
  </cols>
  <sheetData>
    <row r="1" spans="1:78" x14ac:dyDescent="0.2">
      <c r="B1" s="377"/>
      <c r="C1" s="377"/>
      <c r="D1" s="377"/>
      <c r="E1" s="190"/>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row>
    <row r="2" spans="1:78" ht="3" customHeight="1" x14ac:dyDescent="0.2">
      <c r="A2" s="377"/>
      <c r="B2" s="377"/>
      <c r="C2" s="377"/>
      <c r="D2" s="377"/>
      <c r="E2" s="190"/>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row>
    <row r="3" spans="1:78" x14ac:dyDescent="0.2">
      <c r="A3" s="377"/>
      <c r="B3" s="377"/>
      <c r="D3" s="377"/>
    </row>
    <row r="4" spans="1:78" x14ac:dyDescent="0.2">
      <c r="A4" s="377"/>
      <c r="B4" s="377"/>
      <c r="D4" s="411"/>
      <c r="E4" s="105"/>
      <c r="F4" s="410"/>
      <c r="G4" s="410"/>
    </row>
    <row r="5" spans="1:78" x14ac:dyDescent="0.2">
      <c r="A5" s="377"/>
      <c r="B5" s="377"/>
      <c r="D5" s="377"/>
      <c r="E5" s="446"/>
      <c r="F5" s="411"/>
      <c r="G5" s="411"/>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row>
    <row r="6" spans="1:78" x14ac:dyDescent="0.2">
      <c r="A6" s="377"/>
      <c r="B6" s="377"/>
      <c r="D6" s="377"/>
      <c r="E6" s="190"/>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row>
    <row r="7" spans="1:78" ht="15.75" customHeight="1" x14ac:dyDescent="0.25">
      <c r="A7" s="377"/>
      <c r="B7" s="377"/>
      <c r="D7" s="447" t="s">
        <v>526</v>
      </c>
      <c r="E7" s="446"/>
      <c r="F7" s="411"/>
      <c r="G7" s="411"/>
      <c r="H7" s="377"/>
      <c r="I7" s="377"/>
      <c r="J7" s="377"/>
      <c r="K7" s="377"/>
      <c r="L7" s="377"/>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row>
    <row r="8" spans="1:78" ht="12.75" customHeight="1" x14ac:dyDescent="0.2">
      <c r="A8" s="377"/>
      <c r="B8" s="377"/>
      <c r="D8" s="449"/>
      <c r="E8" s="450"/>
      <c r="F8" s="451"/>
      <c r="G8" s="452"/>
      <c r="H8" s="730" t="str">
        <f>[18]summary!H8</f>
        <v>2020/21</v>
      </c>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731"/>
      <c r="BG8" s="731"/>
      <c r="BH8" s="731"/>
      <c r="BI8" s="731"/>
      <c r="BJ8" s="731"/>
      <c r="BK8" s="731"/>
      <c r="BL8" s="731"/>
      <c r="BM8" s="731"/>
      <c r="BN8" s="731"/>
      <c r="BO8" s="731"/>
      <c r="BP8" s="731"/>
      <c r="BQ8" s="731"/>
      <c r="BR8" s="731"/>
      <c r="BS8" s="731"/>
      <c r="BT8" s="731"/>
      <c r="BU8" s="731"/>
      <c r="BV8" s="453"/>
      <c r="BW8" s="453"/>
      <c r="BX8" s="454"/>
      <c r="BY8" s="377"/>
    </row>
    <row r="9" spans="1:78" ht="12.75" customHeight="1" x14ac:dyDescent="0.2">
      <c r="A9" s="377"/>
      <c r="B9" s="377"/>
      <c r="D9" s="455"/>
      <c r="E9" s="446"/>
      <c r="F9" s="456"/>
      <c r="G9" s="457"/>
      <c r="H9" s="152" t="str">
        <f>[18]foreigndebt!G9</f>
        <v>Revised</v>
      </c>
      <c r="I9" s="152"/>
      <c r="J9" s="152"/>
      <c r="K9" s="458"/>
      <c r="L9" s="152"/>
      <c r="M9" s="152" t="s">
        <v>6</v>
      </c>
      <c r="N9" s="152"/>
      <c r="O9" s="152"/>
      <c r="P9" s="153"/>
      <c r="Q9" s="152"/>
      <c r="R9" s="152" t="s">
        <v>7</v>
      </c>
      <c r="S9" s="152"/>
      <c r="T9" s="152"/>
      <c r="U9" s="153"/>
      <c r="V9" s="152"/>
      <c r="W9" s="152" t="s">
        <v>8</v>
      </c>
      <c r="X9" s="152"/>
      <c r="Y9" s="152"/>
      <c r="Z9" s="153"/>
      <c r="AA9" s="152"/>
      <c r="AB9" s="152" t="s">
        <v>9</v>
      </c>
      <c r="AC9" s="152"/>
      <c r="AD9" s="152"/>
      <c r="AE9" s="153"/>
      <c r="AF9" s="152"/>
      <c r="AG9" s="152" t="s">
        <v>10</v>
      </c>
      <c r="AH9" s="152"/>
      <c r="AI9" s="152"/>
      <c r="AJ9" s="153"/>
      <c r="AK9" s="152"/>
      <c r="AL9" s="152" t="s">
        <v>11</v>
      </c>
      <c r="AM9" s="152"/>
      <c r="AN9" s="152"/>
      <c r="AO9" s="153"/>
      <c r="AP9" s="152"/>
      <c r="AQ9" s="152" t="s">
        <v>12</v>
      </c>
      <c r="AR9" s="152"/>
      <c r="AS9" s="152"/>
      <c r="AT9" s="153"/>
      <c r="AU9" s="152"/>
      <c r="AV9" s="152" t="s">
        <v>13</v>
      </c>
      <c r="AW9" s="152"/>
      <c r="AX9" s="152"/>
      <c r="AY9" s="153"/>
      <c r="AZ9" s="152"/>
      <c r="BA9" s="152" t="s">
        <v>14</v>
      </c>
      <c r="BB9" s="152"/>
      <c r="BC9" s="152"/>
      <c r="BD9" s="153"/>
      <c r="BE9" s="152"/>
      <c r="BF9" s="152" t="s">
        <v>15</v>
      </c>
      <c r="BG9" s="152"/>
      <c r="BH9" s="152"/>
      <c r="BI9" s="153"/>
      <c r="BJ9" s="152"/>
      <c r="BK9" s="152" t="s">
        <v>16</v>
      </c>
      <c r="BL9" s="152"/>
      <c r="BM9" s="152"/>
      <c r="BN9" s="153"/>
      <c r="BO9" s="152"/>
      <c r="BP9" s="152" t="s">
        <v>17</v>
      </c>
      <c r="BQ9" s="152"/>
      <c r="BR9" s="152"/>
      <c r="BS9" s="153"/>
      <c r="BT9" s="152"/>
      <c r="BU9" s="152" t="s">
        <v>18</v>
      </c>
      <c r="BV9" s="152"/>
      <c r="BW9" s="152"/>
      <c r="BX9" s="136"/>
      <c r="BY9" s="377"/>
    </row>
    <row r="10" spans="1:78" ht="12.75" customHeight="1" x14ac:dyDescent="0.2">
      <c r="A10" s="377"/>
      <c r="B10" s="377"/>
      <c r="D10" s="459" t="s">
        <v>20</v>
      </c>
      <c r="E10" s="460"/>
      <c r="F10" s="461"/>
      <c r="G10" s="462"/>
      <c r="H10" s="208" t="s">
        <v>22</v>
      </c>
      <c r="I10" s="208"/>
      <c r="J10" s="140"/>
      <c r="K10" s="463"/>
      <c r="L10" s="208"/>
      <c r="M10" s="464"/>
      <c r="N10" s="464"/>
      <c r="O10" s="464"/>
      <c r="P10" s="461"/>
      <c r="Q10" s="464"/>
      <c r="R10" s="464"/>
      <c r="S10" s="464"/>
      <c r="T10" s="464"/>
      <c r="U10" s="461"/>
      <c r="V10" s="464"/>
      <c r="W10" s="464"/>
      <c r="X10" s="464"/>
      <c r="Y10" s="464"/>
      <c r="Z10" s="461"/>
      <c r="AA10" s="464"/>
      <c r="AB10" s="464"/>
      <c r="AC10" s="464"/>
      <c r="AD10" s="464"/>
      <c r="AE10" s="461"/>
      <c r="AF10" s="464"/>
      <c r="AG10" s="464"/>
      <c r="AH10" s="464"/>
      <c r="AI10" s="464"/>
      <c r="AJ10" s="461"/>
      <c r="AK10" s="464"/>
      <c r="AL10" s="464"/>
      <c r="AM10" s="464"/>
      <c r="AN10" s="464"/>
      <c r="AO10" s="461"/>
      <c r="AP10" s="464"/>
      <c r="AQ10" s="464"/>
      <c r="AR10" s="464"/>
      <c r="AS10" s="464"/>
      <c r="AT10" s="461"/>
      <c r="AU10" s="464"/>
      <c r="AV10" s="464"/>
      <c r="AW10" s="464"/>
      <c r="AX10" s="464"/>
      <c r="AY10" s="461"/>
      <c r="AZ10" s="464"/>
      <c r="BA10" s="464"/>
      <c r="BB10" s="464"/>
      <c r="BC10" s="464"/>
      <c r="BD10" s="461"/>
      <c r="BE10" s="464"/>
      <c r="BF10" s="464"/>
      <c r="BG10" s="464"/>
      <c r="BH10" s="464"/>
      <c r="BI10" s="461"/>
      <c r="BJ10" s="464"/>
      <c r="BK10" s="464"/>
      <c r="BL10" s="464"/>
      <c r="BM10" s="464"/>
      <c r="BN10" s="461"/>
      <c r="BO10" s="464"/>
      <c r="BP10" s="464"/>
      <c r="BQ10" s="464"/>
      <c r="BR10" s="464"/>
      <c r="BS10" s="461"/>
      <c r="BT10" s="464"/>
      <c r="BU10" s="464"/>
      <c r="BV10" s="464"/>
      <c r="BW10" s="464"/>
      <c r="BX10" s="454"/>
      <c r="BY10" s="377"/>
    </row>
    <row r="11" spans="1:78" x14ac:dyDescent="0.2">
      <c r="A11" s="377"/>
      <c r="B11" s="377"/>
      <c r="D11" s="465"/>
      <c r="E11" s="190"/>
      <c r="F11" s="417"/>
      <c r="G11" s="377"/>
      <c r="H11" s="377"/>
      <c r="I11" s="377"/>
      <c r="J11" s="377"/>
      <c r="K11" s="417"/>
      <c r="L11" s="377"/>
      <c r="M11" s="377"/>
      <c r="N11" s="377"/>
      <c r="O11" s="377"/>
      <c r="P11" s="417"/>
      <c r="Q11" s="377"/>
      <c r="R11" s="377"/>
      <c r="S11" s="377"/>
      <c r="T11" s="377"/>
      <c r="U11" s="417"/>
      <c r="V11" s="377"/>
      <c r="W11" s="377"/>
      <c r="X11" s="377"/>
      <c r="Y11" s="377"/>
      <c r="Z11" s="417"/>
      <c r="AA11" s="377"/>
      <c r="AB11" s="377"/>
      <c r="AC11" s="377"/>
      <c r="AD11" s="377"/>
      <c r="AE11" s="417"/>
      <c r="AF11" s="377"/>
      <c r="AG11" s="377"/>
      <c r="AH11" s="377"/>
      <c r="AI11" s="377"/>
      <c r="AJ11" s="417"/>
      <c r="AK11" s="377"/>
      <c r="AL11" s="377"/>
      <c r="AM11" s="377"/>
      <c r="AN11" s="377"/>
      <c r="AO11" s="417"/>
      <c r="AP11" s="377"/>
      <c r="AQ11" s="377"/>
      <c r="AR11" s="377"/>
      <c r="AS11" s="377"/>
      <c r="AT11" s="417"/>
      <c r="AU11" s="377"/>
      <c r="AV11" s="377"/>
      <c r="AW11" s="377"/>
      <c r="AX11" s="377"/>
      <c r="AY11" s="417"/>
      <c r="AZ11" s="377"/>
      <c r="BA11" s="377"/>
      <c r="BB11" s="377"/>
      <c r="BC11" s="377"/>
      <c r="BD11" s="417"/>
      <c r="BE11" s="377"/>
      <c r="BF11" s="377"/>
      <c r="BG11" s="377"/>
      <c r="BH11" s="377"/>
      <c r="BI11" s="417"/>
      <c r="BJ11" s="377"/>
      <c r="BK11" s="377"/>
      <c r="BL11" s="377"/>
      <c r="BM11" s="377"/>
      <c r="BN11" s="417"/>
      <c r="BO11" s="377"/>
      <c r="BP11" s="377"/>
      <c r="BQ11" s="377"/>
      <c r="BR11" s="377"/>
      <c r="BS11" s="417"/>
      <c r="BT11" s="377"/>
      <c r="BU11" s="377"/>
      <c r="BV11" s="377"/>
      <c r="BW11" s="377"/>
      <c r="BX11" s="465"/>
      <c r="BY11" s="377"/>
    </row>
    <row r="12" spans="1:78" s="410" customFormat="1" x14ac:dyDescent="0.2">
      <c r="A12" s="411"/>
      <c r="B12" s="411"/>
      <c r="C12" s="411"/>
      <c r="D12" s="455" t="s">
        <v>527</v>
      </c>
      <c r="E12" s="190" t="s">
        <v>86</v>
      </c>
      <c r="F12" s="417"/>
      <c r="G12" s="377"/>
      <c r="H12" s="61">
        <f>+H13-H17</f>
        <v>38975668</v>
      </c>
      <c r="I12" s="61"/>
      <c r="J12" s="61"/>
      <c r="K12" s="467"/>
      <c r="L12" s="61"/>
      <c r="M12" s="61">
        <f>+M13-M17</f>
        <v>-18484170</v>
      </c>
      <c r="N12" s="61"/>
      <c r="O12" s="61"/>
      <c r="P12" s="467"/>
      <c r="Q12" s="61"/>
      <c r="R12" s="61">
        <f>+R13-R17</f>
        <v>3349854</v>
      </c>
      <c r="S12" s="61"/>
      <c r="T12" s="61"/>
      <c r="U12" s="467"/>
      <c r="V12" s="61"/>
      <c r="W12" s="61">
        <f>+W13-W17</f>
        <v>-22973000</v>
      </c>
      <c r="X12" s="61"/>
      <c r="Y12" s="61"/>
      <c r="Z12" s="467"/>
      <c r="AA12" s="61"/>
      <c r="AB12" s="61">
        <f>+AB13-AB17</f>
        <v>-53649787</v>
      </c>
      <c r="AC12" s="61"/>
      <c r="AD12" s="61"/>
      <c r="AE12" s="467"/>
      <c r="AF12" s="61"/>
      <c r="AG12" s="61">
        <f>+AG13-AG17</f>
        <v>41961434</v>
      </c>
      <c r="AH12" s="61"/>
      <c r="AI12" s="61"/>
      <c r="AJ12" s="467"/>
      <c r="AK12" s="61"/>
      <c r="AL12" s="61">
        <f>+AL13-AL17</f>
        <v>-13252498</v>
      </c>
      <c r="AM12" s="61"/>
      <c r="AN12" s="61"/>
      <c r="AO12" s="467"/>
      <c r="AP12" s="61"/>
      <c r="AQ12" s="61">
        <f>+AQ13-AQ17</f>
        <v>298709835</v>
      </c>
      <c r="AR12" s="61"/>
      <c r="AS12" s="61"/>
      <c r="AT12" s="467"/>
      <c r="AU12" s="61"/>
      <c r="AV12" s="61">
        <f>+AV13-AV17</f>
        <v>0</v>
      </c>
      <c r="AW12" s="61"/>
      <c r="AX12" s="61"/>
      <c r="AY12" s="467"/>
      <c r="AZ12" s="61"/>
      <c r="BA12" s="61">
        <f>+BA13-BA17</f>
        <v>0</v>
      </c>
      <c r="BB12" s="61"/>
      <c r="BC12" s="61"/>
      <c r="BD12" s="467"/>
      <c r="BE12" s="61"/>
      <c r="BF12" s="61">
        <f>+BF13-BF17</f>
        <v>0</v>
      </c>
      <c r="BG12" s="61"/>
      <c r="BH12" s="61"/>
      <c r="BI12" s="467"/>
      <c r="BJ12" s="61"/>
      <c r="BK12" s="61">
        <f>+BK13-BK17</f>
        <v>0</v>
      </c>
      <c r="BL12" s="61"/>
      <c r="BM12" s="61"/>
      <c r="BN12" s="467"/>
      <c r="BO12" s="61"/>
      <c r="BP12" s="61">
        <f>+BP13-BP17</f>
        <v>0</v>
      </c>
      <c r="BQ12" s="61"/>
      <c r="BR12" s="61"/>
      <c r="BS12" s="467"/>
      <c r="BT12" s="61"/>
      <c r="BU12" s="61">
        <f>+BU13-BU17</f>
        <v>-63048167</v>
      </c>
      <c r="BV12" s="61"/>
      <c r="BW12" s="61"/>
      <c r="BX12" s="468"/>
      <c r="BY12" s="411"/>
    </row>
    <row r="13" spans="1:78" x14ac:dyDescent="0.2">
      <c r="A13" s="377"/>
      <c r="B13" s="377"/>
      <c r="C13" s="377"/>
      <c r="D13" s="465" t="s">
        <v>528</v>
      </c>
      <c r="E13" s="190"/>
      <c r="F13" s="417"/>
      <c r="G13" s="469"/>
      <c r="H13" s="470">
        <f>SUM(H14:H15)</f>
        <v>235661668</v>
      </c>
      <c r="I13" s="471"/>
      <c r="J13" s="83"/>
      <c r="K13" s="472"/>
      <c r="L13" s="473"/>
      <c r="M13" s="470">
        <f>SUM(M14:M15)</f>
        <v>235661668</v>
      </c>
      <c r="N13" s="471"/>
      <c r="O13" s="83"/>
      <c r="P13" s="472"/>
      <c r="Q13" s="473"/>
      <c r="R13" s="470">
        <f>SUM(R14:R15)</f>
        <v>254145838</v>
      </c>
      <c r="S13" s="471"/>
      <c r="T13" s="83"/>
      <c r="U13" s="472"/>
      <c r="V13" s="473"/>
      <c r="W13" s="470">
        <f>SUM(W14:W15)</f>
        <v>250795984</v>
      </c>
      <c r="X13" s="471"/>
      <c r="Y13" s="83"/>
      <c r="Z13" s="472"/>
      <c r="AA13" s="473"/>
      <c r="AB13" s="470">
        <f>SUM(AB14:AB15)</f>
        <v>273768984</v>
      </c>
      <c r="AC13" s="471"/>
      <c r="AD13" s="83"/>
      <c r="AE13" s="472"/>
      <c r="AF13" s="473"/>
      <c r="AG13" s="470">
        <f>SUM(AG14:AG15)</f>
        <v>327418771</v>
      </c>
      <c r="AH13" s="471"/>
      <c r="AI13" s="83"/>
      <c r="AJ13" s="472"/>
      <c r="AK13" s="473"/>
      <c r="AL13" s="470">
        <f>SUM(AL14:AL15)</f>
        <v>285457337</v>
      </c>
      <c r="AM13" s="471"/>
      <c r="AN13" s="83"/>
      <c r="AO13" s="472"/>
      <c r="AP13" s="473"/>
      <c r="AQ13" s="470">
        <f>SUM(AQ14:AQ15)</f>
        <v>298709835</v>
      </c>
      <c r="AR13" s="471"/>
      <c r="AS13" s="83"/>
      <c r="AT13" s="472"/>
      <c r="AU13" s="473"/>
      <c r="AV13" s="470">
        <f>SUM(AV14:AV15)</f>
        <v>0</v>
      </c>
      <c r="AW13" s="471"/>
      <c r="AX13" s="83"/>
      <c r="AY13" s="472"/>
      <c r="AZ13" s="473"/>
      <c r="BA13" s="470">
        <f>SUM(BA14:BA15)</f>
        <v>0</v>
      </c>
      <c r="BB13" s="471"/>
      <c r="BC13" s="83"/>
      <c r="BD13" s="472"/>
      <c r="BE13" s="473"/>
      <c r="BF13" s="470">
        <f>SUM(BF14:BF15)</f>
        <v>0</v>
      </c>
      <c r="BG13" s="471"/>
      <c r="BH13" s="83"/>
      <c r="BI13" s="472"/>
      <c r="BJ13" s="473"/>
      <c r="BK13" s="470">
        <f>SUM(BK14:BK15)</f>
        <v>0</v>
      </c>
      <c r="BL13" s="471"/>
      <c r="BM13" s="83"/>
      <c r="BN13" s="472"/>
      <c r="BO13" s="473"/>
      <c r="BP13" s="470">
        <f>SUM(BP14:BP15)</f>
        <v>0</v>
      </c>
      <c r="BQ13" s="471"/>
      <c r="BR13" s="83"/>
      <c r="BS13" s="472"/>
      <c r="BT13" s="473"/>
      <c r="BU13" s="470">
        <f>SUM(BU14:BU15)</f>
        <v>235661668</v>
      </c>
      <c r="BV13" s="471"/>
      <c r="BW13" s="83"/>
      <c r="BX13" s="474"/>
      <c r="BY13" s="377"/>
      <c r="BZ13" s="410"/>
    </row>
    <row r="14" spans="1:78" x14ac:dyDescent="0.2">
      <c r="A14" s="377"/>
      <c r="B14" s="377"/>
      <c r="C14" s="377"/>
      <c r="D14" s="465" t="s">
        <v>529</v>
      </c>
      <c r="E14" s="190"/>
      <c r="F14" s="417"/>
      <c r="G14" s="417"/>
      <c r="H14" s="475">
        <v>191125443</v>
      </c>
      <c r="I14" s="75"/>
      <c r="J14" s="83"/>
      <c r="K14" s="472"/>
      <c r="L14" s="472"/>
      <c r="M14" s="475">
        <v>191125443</v>
      </c>
      <c r="N14" s="75"/>
      <c r="O14" s="83"/>
      <c r="P14" s="472"/>
      <c r="Q14" s="472"/>
      <c r="R14" s="475">
        <f>M18</f>
        <v>188398825</v>
      </c>
      <c r="S14" s="75"/>
      <c r="T14" s="83"/>
      <c r="U14" s="472"/>
      <c r="V14" s="472"/>
      <c r="W14" s="475">
        <f>R18</f>
        <v>183966537</v>
      </c>
      <c r="X14" s="75"/>
      <c r="Y14" s="83"/>
      <c r="Z14" s="472"/>
      <c r="AA14" s="472"/>
      <c r="AB14" s="475">
        <f>W18</f>
        <v>174786407</v>
      </c>
      <c r="AC14" s="75"/>
      <c r="AD14" s="83"/>
      <c r="AE14" s="472"/>
      <c r="AF14" s="472"/>
      <c r="AG14" s="475">
        <f>AB18</f>
        <v>216993276</v>
      </c>
      <c r="AH14" s="75"/>
      <c r="AI14" s="83"/>
      <c r="AJ14" s="472"/>
      <c r="AK14" s="472"/>
      <c r="AL14" s="475">
        <f>AG18</f>
        <v>178904480</v>
      </c>
      <c r="AM14" s="75"/>
      <c r="AN14" s="83"/>
      <c r="AO14" s="472"/>
      <c r="AP14" s="472"/>
      <c r="AQ14" s="475">
        <f>AL18</f>
        <v>162851119</v>
      </c>
      <c r="AR14" s="75"/>
      <c r="AS14" s="83"/>
      <c r="AT14" s="472"/>
      <c r="AU14" s="472"/>
      <c r="AV14" s="475">
        <f>AQ18</f>
        <v>0</v>
      </c>
      <c r="AW14" s="75"/>
      <c r="AX14" s="83"/>
      <c r="AY14" s="472"/>
      <c r="AZ14" s="472"/>
      <c r="BA14" s="475">
        <f>AV18</f>
        <v>0</v>
      </c>
      <c r="BB14" s="75"/>
      <c r="BC14" s="83"/>
      <c r="BD14" s="472"/>
      <c r="BE14" s="472"/>
      <c r="BF14" s="475">
        <f>BA18</f>
        <v>0</v>
      </c>
      <c r="BG14" s="75"/>
      <c r="BH14" s="83"/>
      <c r="BI14" s="472"/>
      <c r="BJ14" s="472"/>
      <c r="BK14" s="475">
        <f>BF18</f>
        <v>0</v>
      </c>
      <c r="BL14" s="75"/>
      <c r="BM14" s="83"/>
      <c r="BN14" s="472"/>
      <c r="BO14" s="472"/>
      <c r="BP14" s="475">
        <f>BK18</f>
        <v>0</v>
      </c>
      <c r="BQ14" s="75"/>
      <c r="BR14" s="83"/>
      <c r="BS14" s="472"/>
      <c r="BT14" s="472"/>
      <c r="BU14" s="476">
        <f>M14</f>
        <v>191125443</v>
      </c>
      <c r="BV14" s="75"/>
      <c r="BW14" s="83"/>
      <c r="BX14" s="474"/>
      <c r="BY14" s="377"/>
    </row>
    <row r="15" spans="1:78" x14ac:dyDescent="0.2">
      <c r="A15" s="377"/>
      <c r="B15" s="377"/>
      <c r="C15" s="377"/>
      <c r="D15" s="465" t="s">
        <v>530</v>
      </c>
      <c r="E15" s="190"/>
      <c r="F15" s="417"/>
      <c r="G15" s="417"/>
      <c r="H15" s="477">
        <v>44536225</v>
      </c>
      <c r="I15" s="75"/>
      <c r="J15" s="83"/>
      <c r="K15" s="472"/>
      <c r="L15" s="472"/>
      <c r="M15" s="477">
        <v>44536225</v>
      </c>
      <c r="N15" s="75"/>
      <c r="O15" s="83"/>
      <c r="P15" s="472"/>
      <c r="Q15" s="472"/>
      <c r="R15" s="477">
        <f>M19</f>
        <v>65747013</v>
      </c>
      <c r="S15" s="75"/>
      <c r="T15" s="83"/>
      <c r="U15" s="472"/>
      <c r="V15" s="472"/>
      <c r="W15" s="477">
        <f>R19</f>
        <v>66829447</v>
      </c>
      <c r="X15" s="75"/>
      <c r="Y15" s="83"/>
      <c r="Z15" s="472"/>
      <c r="AA15" s="472"/>
      <c r="AB15" s="477">
        <f>W19</f>
        <v>98982577</v>
      </c>
      <c r="AC15" s="75"/>
      <c r="AD15" s="83"/>
      <c r="AE15" s="472"/>
      <c r="AF15" s="472"/>
      <c r="AG15" s="477">
        <f>AB19</f>
        <v>110425495</v>
      </c>
      <c r="AH15" s="75"/>
      <c r="AI15" s="83"/>
      <c r="AJ15" s="472"/>
      <c r="AK15" s="472"/>
      <c r="AL15" s="477">
        <f>AG19</f>
        <v>106552857</v>
      </c>
      <c r="AM15" s="75"/>
      <c r="AN15" s="83"/>
      <c r="AO15" s="472"/>
      <c r="AP15" s="472"/>
      <c r="AQ15" s="477">
        <f>AL19</f>
        <v>135858716</v>
      </c>
      <c r="AR15" s="75"/>
      <c r="AS15" s="83"/>
      <c r="AT15" s="472"/>
      <c r="AU15" s="472"/>
      <c r="AV15" s="477">
        <f>AQ19</f>
        <v>0</v>
      </c>
      <c r="AW15" s="75"/>
      <c r="AX15" s="83"/>
      <c r="AY15" s="472"/>
      <c r="AZ15" s="472"/>
      <c r="BA15" s="477">
        <f>AV19</f>
        <v>0</v>
      </c>
      <c r="BB15" s="75"/>
      <c r="BC15" s="83"/>
      <c r="BD15" s="472"/>
      <c r="BE15" s="472"/>
      <c r="BF15" s="477">
        <f>BA19</f>
        <v>0</v>
      </c>
      <c r="BG15" s="75"/>
      <c r="BH15" s="83"/>
      <c r="BI15" s="472"/>
      <c r="BJ15" s="472"/>
      <c r="BK15" s="477">
        <f>BF19</f>
        <v>0</v>
      </c>
      <c r="BL15" s="75"/>
      <c r="BM15" s="83"/>
      <c r="BN15" s="472"/>
      <c r="BO15" s="472"/>
      <c r="BP15" s="477">
        <f>BK19</f>
        <v>0</v>
      </c>
      <c r="BQ15" s="75"/>
      <c r="BR15" s="83"/>
      <c r="BS15" s="472"/>
      <c r="BT15" s="472"/>
      <c r="BU15" s="100">
        <f>M15</f>
        <v>44536225</v>
      </c>
      <c r="BV15" s="75"/>
      <c r="BW15" s="83"/>
      <c r="BX15" s="474"/>
      <c r="BY15" s="377"/>
    </row>
    <row r="16" spans="1:78" x14ac:dyDescent="0.2">
      <c r="A16" s="377"/>
      <c r="B16" s="377"/>
      <c r="C16" s="377"/>
      <c r="D16" s="465"/>
      <c r="E16" s="190"/>
      <c r="F16" s="417"/>
      <c r="G16" s="417"/>
      <c r="H16" s="83"/>
      <c r="I16" s="75"/>
      <c r="J16" s="83"/>
      <c r="K16" s="472"/>
      <c r="L16" s="472"/>
      <c r="M16" s="83"/>
      <c r="N16" s="75"/>
      <c r="O16" s="83"/>
      <c r="P16" s="472"/>
      <c r="Q16" s="472"/>
      <c r="R16" s="83"/>
      <c r="S16" s="75"/>
      <c r="T16" s="83"/>
      <c r="U16" s="472"/>
      <c r="V16" s="472"/>
      <c r="W16" s="83"/>
      <c r="X16" s="75"/>
      <c r="Y16" s="83"/>
      <c r="Z16" s="472"/>
      <c r="AA16" s="472"/>
      <c r="AB16" s="83"/>
      <c r="AC16" s="75"/>
      <c r="AD16" s="83"/>
      <c r="AE16" s="472"/>
      <c r="AF16" s="472"/>
      <c r="AG16" s="83"/>
      <c r="AH16" s="75"/>
      <c r="AI16" s="83"/>
      <c r="AJ16" s="472"/>
      <c r="AK16" s="472"/>
      <c r="AL16" s="83"/>
      <c r="AM16" s="75"/>
      <c r="AN16" s="83"/>
      <c r="AO16" s="472"/>
      <c r="AP16" s="472"/>
      <c r="AQ16" s="83"/>
      <c r="AR16" s="75"/>
      <c r="AS16" s="83"/>
      <c r="AT16" s="472"/>
      <c r="AU16" s="472"/>
      <c r="AV16" s="83"/>
      <c r="AW16" s="75"/>
      <c r="AX16" s="83"/>
      <c r="AY16" s="472"/>
      <c r="AZ16" s="472"/>
      <c r="BA16" s="83"/>
      <c r="BB16" s="75"/>
      <c r="BC16" s="83"/>
      <c r="BD16" s="472"/>
      <c r="BE16" s="472"/>
      <c r="BF16" s="83"/>
      <c r="BG16" s="75"/>
      <c r="BH16" s="83"/>
      <c r="BI16" s="472"/>
      <c r="BJ16" s="472"/>
      <c r="BK16" s="83"/>
      <c r="BL16" s="75"/>
      <c r="BM16" s="83"/>
      <c r="BN16" s="472"/>
      <c r="BO16" s="472"/>
      <c r="BP16" s="83"/>
      <c r="BQ16" s="75"/>
      <c r="BR16" s="83"/>
      <c r="BS16" s="472"/>
      <c r="BT16" s="472"/>
      <c r="BU16" s="83"/>
      <c r="BV16" s="75"/>
      <c r="BW16" s="83"/>
      <c r="BX16" s="474"/>
      <c r="BY16" s="377"/>
      <c r="BZ16" s="410"/>
    </row>
    <row r="17" spans="1:84" x14ac:dyDescent="0.2">
      <c r="A17" s="377"/>
      <c r="B17" s="377"/>
      <c r="C17" s="377"/>
      <c r="D17" s="465" t="s">
        <v>531</v>
      </c>
      <c r="E17" s="190"/>
      <c r="F17" s="417"/>
      <c r="G17" s="417"/>
      <c r="H17" s="83">
        <f>SUM(H18:H19)</f>
        <v>196686000</v>
      </c>
      <c r="I17" s="75"/>
      <c r="J17" s="83"/>
      <c r="K17" s="472"/>
      <c r="L17" s="472"/>
      <c r="M17" s="83">
        <f>SUM(M18:M19)</f>
        <v>254145838</v>
      </c>
      <c r="N17" s="75"/>
      <c r="O17" s="83"/>
      <c r="P17" s="472"/>
      <c r="Q17" s="472"/>
      <c r="R17" s="83">
        <f>SUM(R18:R19)</f>
        <v>250795984</v>
      </c>
      <c r="S17" s="75"/>
      <c r="T17" s="83"/>
      <c r="U17" s="472"/>
      <c r="V17" s="472"/>
      <c r="W17" s="83">
        <f>SUM(W18:W19)</f>
        <v>273768984</v>
      </c>
      <c r="X17" s="75"/>
      <c r="Y17" s="83"/>
      <c r="Z17" s="472"/>
      <c r="AA17" s="472"/>
      <c r="AB17" s="83">
        <f>SUM(AB18:AB19)</f>
        <v>327418771</v>
      </c>
      <c r="AC17" s="75"/>
      <c r="AD17" s="83"/>
      <c r="AE17" s="472"/>
      <c r="AF17" s="472"/>
      <c r="AG17" s="83">
        <f>SUM(AG18:AG19)</f>
        <v>285457337</v>
      </c>
      <c r="AH17" s="75"/>
      <c r="AI17" s="83"/>
      <c r="AJ17" s="472"/>
      <c r="AK17" s="472"/>
      <c r="AL17" s="83">
        <f>SUM(AL18:AL19)</f>
        <v>298709835</v>
      </c>
      <c r="AM17" s="75"/>
      <c r="AN17" s="83"/>
      <c r="AO17" s="472"/>
      <c r="AP17" s="472"/>
      <c r="AQ17" s="83">
        <f>SUM(AQ18:AQ19)</f>
        <v>0</v>
      </c>
      <c r="AR17" s="75"/>
      <c r="AS17" s="83"/>
      <c r="AT17" s="472"/>
      <c r="AU17" s="472"/>
      <c r="AV17" s="83">
        <f>SUM(AV18:AV19)</f>
        <v>0</v>
      </c>
      <c r="AW17" s="75"/>
      <c r="AX17" s="83"/>
      <c r="AY17" s="472"/>
      <c r="AZ17" s="472"/>
      <c r="BA17" s="83">
        <f>SUM(BA18:BA19)</f>
        <v>0</v>
      </c>
      <c r="BB17" s="75"/>
      <c r="BC17" s="83"/>
      <c r="BD17" s="472"/>
      <c r="BE17" s="472"/>
      <c r="BF17" s="83">
        <f>SUM(BF18:BF19)</f>
        <v>0</v>
      </c>
      <c r="BG17" s="75"/>
      <c r="BH17" s="83"/>
      <c r="BI17" s="472"/>
      <c r="BJ17" s="472"/>
      <c r="BK17" s="83">
        <f>SUM(BK18:BK19)</f>
        <v>0</v>
      </c>
      <c r="BL17" s="75"/>
      <c r="BM17" s="83"/>
      <c r="BN17" s="472"/>
      <c r="BO17" s="472"/>
      <c r="BP17" s="83">
        <f>SUM(BP18:BP19)</f>
        <v>0</v>
      </c>
      <c r="BQ17" s="75"/>
      <c r="BR17" s="83"/>
      <c r="BS17" s="472"/>
      <c r="BT17" s="472"/>
      <c r="BU17" s="83">
        <f>SUM(BU18:BU19)</f>
        <v>298709835</v>
      </c>
      <c r="BV17" s="75"/>
      <c r="BW17" s="83"/>
      <c r="BX17" s="474"/>
      <c r="BY17" s="377"/>
      <c r="BZ17" s="410"/>
    </row>
    <row r="18" spans="1:84" x14ac:dyDescent="0.2">
      <c r="A18" s="377"/>
      <c r="B18" s="377"/>
      <c r="C18" s="377"/>
      <c r="D18" s="465" t="s">
        <v>529</v>
      </c>
      <c r="E18" s="190"/>
      <c r="F18" s="417"/>
      <c r="G18" s="417"/>
      <c r="H18" s="475">
        <v>110906000</v>
      </c>
      <c r="I18" s="75"/>
      <c r="J18" s="83"/>
      <c r="K18" s="472"/>
      <c r="L18" s="472"/>
      <c r="M18" s="475">
        <v>188398825</v>
      </c>
      <c r="N18" s="75"/>
      <c r="O18" s="83"/>
      <c r="P18" s="472"/>
      <c r="Q18" s="472"/>
      <c r="R18" s="475">
        <v>183966537</v>
      </c>
      <c r="S18" s="75"/>
      <c r="T18" s="83"/>
      <c r="U18" s="472"/>
      <c r="V18" s="472"/>
      <c r="W18" s="475">
        <v>174786407</v>
      </c>
      <c r="X18" s="75"/>
      <c r="Y18" s="83"/>
      <c r="Z18" s="472"/>
      <c r="AA18" s="472"/>
      <c r="AB18" s="475">
        <v>216993276</v>
      </c>
      <c r="AC18" s="75"/>
      <c r="AD18" s="83"/>
      <c r="AE18" s="472"/>
      <c r="AF18" s="472"/>
      <c r="AG18" s="475">
        <v>178904480</v>
      </c>
      <c r="AH18" s="75"/>
      <c r="AI18" s="83"/>
      <c r="AJ18" s="472"/>
      <c r="AK18" s="472"/>
      <c r="AL18" s="475">
        <v>162851119</v>
      </c>
      <c r="AM18" s="75"/>
      <c r="AN18" s="83"/>
      <c r="AO18" s="472"/>
      <c r="AP18" s="472"/>
      <c r="AQ18" s="475">
        <v>0</v>
      </c>
      <c r="AR18" s="75"/>
      <c r="AS18" s="83"/>
      <c r="AT18" s="472"/>
      <c r="AU18" s="472"/>
      <c r="AV18" s="475">
        <v>0</v>
      </c>
      <c r="AW18" s="75"/>
      <c r="AX18" s="83"/>
      <c r="AY18" s="472"/>
      <c r="AZ18" s="472"/>
      <c r="BA18" s="475">
        <v>0</v>
      </c>
      <c r="BB18" s="75"/>
      <c r="BC18" s="83"/>
      <c r="BD18" s="472"/>
      <c r="BE18" s="472"/>
      <c r="BF18" s="475">
        <v>0</v>
      </c>
      <c r="BG18" s="75"/>
      <c r="BH18" s="83"/>
      <c r="BI18" s="472"/>
      <c r="BJ18" s="472"/>
      <c r="BK18" s="475">
        <v>0</v>
      </c>
      <c r="BL18" s="75"/>
      <c r="BM18" s="83"/>
      <c r="BN18" s="472"/>
      <c r="BO18" s="472"/>
      <c r="BP18" s="475">
        <v>0</v>
      </c>
      <c r="BQ18" s="75"/>
      <c r="BR18" s="83"/>
      <c r="BS18" s="472"/>
      <c r="BT18" s="472"/>
      <c r="BU18" s="475">
        <f>AL18</f>
        <v>162851119</v>
      </c>
      <c r="BV18" s="75"/>
      <c r="BW18" s="83"/>
      <c r="BX18" s="474"/>
      <c r="BY18" s="377"/>
      <c r="BZ18" s="410"/>
    </row>
    <row r="19" spans="1:84" x14ac:dyDescent="0.2">
      <c r="A19" s="377"/>
      <c r="B19" s="377"/>
      <c r="C19" s="377"/>
      <c r="D19" s="465" t="s">
        <v>530</v>
      </c>
      <c r="E19" s="190"/>
      <c r="F19" s="417"/>
      <c r="G19" s="417"/>
      <c r="H19" s="477">
        <v>85780000</v>
      </c>
      <c r="I19" s="75"/>
      <c r="J19" s="83"/>
      <c r="K19" s="472"/>
      <c r="L19" s="472"/>
      <c r="M19" s="477">
        <v>65747013</v>
      </c>
      <c r="N19" s="75"/>
      <c r="O19" s="83"/>
      <c r="P19" s="472"/>
      <c r="Q19" s="472"/>
      <c r="R19" s="477">
        <v>66829447</v>
      </c>
      <c r="S19" s="75"/>
      <c r="T19" s="83"/>
      <c r="U19" s="472"/>
      <c r="V19" s="472"/>
      <c r="W19" s="477">
        <v>98982577</v>
      </c>
      <c r="X19" s="75"/>
      <c r="Y19" s="83"/>
      <c r="Z19" s="472"/>
      <c r="AA19" s="472"/>
      <c r="AB19" s="477">
        <v>110425495</v>
      </c>
      <c r="AC19" s="75"/>
      <c r="AD19" s="83"/>
      <c r="AE19" s="472"/>
      <c r="AF19" s="472"/>
      <c r="AG19" s="477">
        <v>106552857</v>
      </c>
      <c r="AH19" s="75"/>
      <c r="AI19" s="83"/>
      <c r="AJ19" s="472"/>
      <c r="AK19" s="472"/>
      <c r="AL19" s="477">
        <v>135858716</v>
      </c>
      <c r="AM19" s="75"/>
      <c r="AN19" s="83"/>
      <c r="AO19" s="472"/>
      <c r="AP19" s="472"/>
      <c r="AQ19" s="477">
        <v>0</v>
      </c>
      <c r="AR19" s="75"/>
      <c r="AS19" s="83"/>
      <c r="AT19" s="472"/>
      <c r="AU19" s="472"/>
      <c r="AV19" s="477">
        <v>0</v>
      </c>
      <c r="AW19" s="75"/>
      <c r="AX19" s="83"/>
      <c r="AY19" s="472"/>
      <c r="AZ19" s="472"/>
      <c r="BA19" s="477">
        <v>0</v>
      </c>
      <c r="BB19" s="75"/>
      <c r="BC19" s="83"/>
      <c r="BD19" s="472"/>
      <c r="BE19" s="472"/>
      <c r="BF19" s="477">
        <v>0</v>
      </c>
      <c r="BG19" s="75"/>
      <c r="BH19" s="83"/>
      <c r="BI19" s="472"/>
      <c r="BJ19" s="472"/>
      <c r="BK19" s="477">
        <v>0</v>
      </c>
      <c r="BL19" s="75"/>
      <c r="BM19" s="83"/>
      <c r="BN19" s="472"/>
      <c r="BO19" s="472"/>
      <c r="BP19" s="477">
        <v>0</v>
      </c>
      <c r="BQ19" s="75"/>
      <c r="BR19" s="83"/>
      <c r="BS19" s="472"/>
      <c r="BT19" s="472"/>
      <c r="BU19" s="477">
        <f>AL19</f>
        <v>135858716</v>
      </c>
      <c r="BV19" s="75"/>
      <c r="BW19" s="83"/>
      <c r="BX19" s="474"/>
      <c r="BY19" s="377"/>
      <c r="BZ19" s="410"/>
    </row>
    <row r="20" spans="1:84" x14ac:dyDescent="0.2">
      <c r="A20" s="377"/>
      <c r="B20" s="377"/>
      <c r="C20" s="377"/>
      <c r="D20" s="465"/>
      <c r="E20" s="190"/>
      <c r="F20" s="417"/>
      <c r="G20" s="478"/>
      <c r="H20" s="479"/>
      <c r="I20" s="480"/>
      <c r="J20" s="83"/>
      <c r="K20" s="472"/>
      <c r="L20" s="481"/>
      <c r="M20" s="479"/>
      <c r="N20" s="480"/>
      <c r="O20" s="83"/>
      <c r="P20" s="472"/>
      <c r="Q20" s="481"/>
      <c r="R20" s="479"/>
      <c r="S20" s="480"/>
      <c r="T20" s="83"/>
      <c r="U20" s="472"/>
      <c r="V20" s="481"/>
      <c r="W20" s="479"/>
      <c r="X20" s="480"/>
      <c r="Y20" s="83"/>
      <c r="Z20" s="472"/>
      <c r="AA20" s="481"/>
      <c r="AB20" s="479"/>
      <c r="AC20" s="480"/>
      <c r="AD20" s="83"/>
      <c r="AE20" s="472"/>
      <c r="AF20" s="481"/>
      <c r="AG20" s="479"/>
      <c r="AH20" s="480"/>
      <c r="AI20" s="83"/>
      <c r="AJ20" s="472"/>
      <c r="AK20" s="481"/>
      <c r="AL20" s="479"/>
      <c r="AM20" s="480"/>
      <c r="AN20" s="83"/>
      <c r="AO20" s="472"/>
      <c r="AP20" s="481"/>
      <c r="AQ20" s="479"/>
      <c r="AR20" s="480"/>
      <c r="AS20" s="83"/>
      <c r="AT20" s="472"/>
      <c r="AU20" s="481"/>
      <c r="AV20" s="479"/>
      <c r="AW20" s="480"/>
      <c r="AX20" s="83"/>
      <c r="AY20" s="472"/>
      <c r="AZ20" s="481"/>
      <c r="BA20" s="479"/>
      <c r="BB20" s="480"/>
      <c r="BC20" s="83"/>
      <c r="BD20" s="472"/>
      <c r="BE20" s="481"/>
      <c r="BF20" s="479"/>
      <c r="BG20" s="480"/>
      <c r="BH20" s="83"/>
      <c r="BI20" s="472"/>
      <c r="BJ20" s="481"/>
      <c r="BK20" s="479"/>
      <c r="BL20" s="480"/>
      <c r="BM20" s="83"/>
      <c r="BN20" s="472"/>
      <c r="BO20" s="481"/>
      <c r="BP20" s="479"/>
      <c r="BQ20" s="480"/>
      <c r="BR20" s="83"/>
      <c r="BS20" s="472"/>
      <c r="BT20" s="481"/>
      <c r="BU20" s="479"/>
      <c r="BV20" s="480"/>
      <c r="BW20" s="83"/>
      <c r="BX20" s="474"/>
      <c r="BY20" s="377"/>
      <c r="BZ20" s="410"/>
    </row>
    <row r="21" spans="1:84" x14ac:dyDescent="0.2">
      <c r="A21" s="377"/>
      <c r="B21" s="377"/>
      <c r="C21" s="377"/>
      <c r="D21" s="465"/>
      <c r="E21" s="190"/>
      <c r="F21" s="417"/>
      <c r="G21" s="377"/>
      <c r="H21" s="378"/>
      <c r="I21" s="378"/>
      <c r="J21" s="378"/>
      <c r="K21" s="482"/>
      <c r="L21" s="378"/>
      <c r="M21" s="378"/>
      <c r="N21" s="378"/>
      <c r="O21" s="378"/>
      <c r="P21" s="482"/>
      <c r="Q21" s="378"/>
      <c r="R21" s="378"/>
      <c r="S21" s="378"/>
      <c r="T21" s="378"/>
      <c r="U21" s="482"/>
      <c r="V21" s="378"/>
      <c r="W21" s="378"/>
      <c r="X21" s="378"/>
      <c r="Y21" s="378"/>
      <c r="Z21" s="482"/>
      <c r="AA21" s="378"/>
      <c r="AB21" s="378"/>
      <c r="AC21" s="378"/>
      <c r="AD21" s="378"/>
      <c r="AE21" s="482"/>
      <c r="AF21" s="378"/>
      <c r="AG21" s="378"/>
      <c r="AH21" s="378"/>
      <c r="AI21" s="378"/>
      <c r="AJ21" s="482"/>
      <c r="AK21" s="378"/>
      <c r="AL21" s="378"/>
      <c r="AM21" s="378"/>
      <c r="AN21" s="378"/>
      <c r="AO21" s="482"/>
      <c r="AP21" s="378"/>
      <c r="AQ21" s="378"/>
      <c r="AR21" s="378"/>
      <c r="AS21" s="378"/>
      <c r="AT21" s="482"/>
      <c r="AU21" s="378"/>
      <c r="AV21" s="378"/>
      <c r="AW21" s="378"/>
      <c r="AX21" s="378"/>
      <c r="AY21" s="482"/>
      <c r="AZ21" s="378"/>
      <c r="BA21" s="378"/>
      <c r="BB21" s="378"/>
      <c r="BC21" s="378"/>
      <c r="BD21" s="482"/>
      <c r="BE21" s="378"/>
      <c r="BF21" s="378"/>
      <c r="BG21" s="378"/>
      <c r="BH21" s="378"/>
      <c r="BI21" s="482"/>
      <c r="BJ21" s="378"/>
      <c r="BK21" s="378"/>
      <c r="BL21" s="378"/>
      <c r="BM21" s="378"/>
      <c r="BN21" s="482"/>
      <c r="BO21" s="378"/>
      <c r="BP21" s="378"/>
      <c r="BQ21" s="378"/>
      <c r="BR21" s="378"/>
      <c r="BS21" s="482"/>
      <c r="BT21" s="378"/>
      <c r="BU21" s="378"/>
      <c r="BV21" s="378"/>
      <c r="BW21" s="378"/>
      <c r="BX21" s="484"/>
      <c r="BY21" s="377"/>
      <c r="BZ21" s="410"/>
    </row>
    <row r="22" spans="1:84" s="410" customFormat="1" x14ac:dyDescent="0.2">
      <c r="A22" s="411"/>
      <c r="B22" s="411"/>
      <c r="C22" s="411"/>
      <c r="D22" s="455"/>
      <c r="E22" s="446"/>
      <c r="F22" s="485"/>
      <c r="G22" s="411"/>
      <c r="H22" s="486"/>
      <c r="I22" s="486"/>
      <c r="J22" s="486"/>
      <c r="K22" s="487"/>
      <c r="L22" s="486"/>
      <c r="M22" s="486"/>
      <c r="N22" s="486"/>
      <c r="O22" s="486"/>
      <c r="P22" s="487"/>
      <c r="Q22" s="486"/>
      <c r="R22" s="486"/>
      <c r="S22" s="486"/>
      <c r="T22" s="486"/>
      <c r="U22" s="487"/>
      <c r="V22" s="486"/>
      <c r="W22" s="486"/>
      <c r="X22" s="486"/>
      <c r="Y22" s="486"/>
      <c r="Z22" s="487"/>
      <c r="AA22" s="486"/>
      <c r="AB22" s="486"/>
      <c r="AC22" s="486"/>
      <c r="AD22" s="486"/>
      <c r="AE22" s="487"/>
      <c r="AF22" s="486"/>
      <c r="AG22" s="486"/>
      <c r="AH22" s="486"/>
      <c r="AI22" s="486"/>
      <c r="AJ22" s="487"/>
      <c r="AK22" s="486"/>
      <c r="AL22" s="486"/>
      <c r="AM22" s="486"/>
      <c r="AN22" s="486"/>
      <c r="AO22" s="487"/>
      <c r="AP22" s="486"/>
      <c r="AQ22" s="486"/>
      <c r="AR22" s="486"/>
      <c r="AS22" s="486"/>
      <c r="AT22" s="487"/>
      <c r="AU22" s="486"/>
      <c r="AV22" s="486"/>
      <c r="AW22" s="486"/>
      <c r="AX22" s="486"/>
      <c r="AY22" s="487"/>
      <c r="AZ22" s="486"/>
      <c r="BA22" s="486"/>
      <c r="BB22" s="486"/>
      <c r="BC22" s="486"/>
      <c r="BD22" s="487"/>
      <c r="BE22" s="486"/>
      <c r="BF22" s="486"/>
      <c r="BG22" s="486"/>
      <c r="BH22" s="486"/>
      <c r="BI22" s="487"/>
      <c r="BJ22" s="486"/>
      <c r="BK22" s="486"/>
      <c r="BL22" s="486"/>
      <c r="BM22" s="486"/>
      <c r="BN22" s="487"/>
      <c r="BO22" s="486"/>
      <c r="BP22" s="486"/>
      <c r="BQ22" s="486"/>
      <c r="BR22" s="486"/>
      <c r="BS22" s="487"/>
      <c r="BT22" s="486"/>
      <c r="BU22" s="486"/>
      <c r="BV22" s="486"/>
      <c r="BW22" s="486"/>
      <c r="BX22" s="454"/>
      <c r="BY22" s="411"/>
    </row>
    <row r="23" spans="1:84" s="410" customFormat="1" x14ac:dyDescent="0.2">
      <c r="A23" s="411"/>
      <c r="B23" s="411"/>
      <c r="C23" s="411"/>
      <c r="D23" s="253" t="s">
        <v>532</v>
      </c>
      <c r="E23" s="446"/>
      <c r="F23" s="485"/>
      <c r="G23" s="411"/>
      <c r="H23" s="61">
        <v>0</v>
      </c>
      <c r="I23" s="61"/>
      <c r="J23" s="61"/>
      <c r="K23" s="467"/>
      <c r="L23" s="61"/>
      <c r="M23" s="61">
        <v>34143659</v>
      </c>
      <c r="N23" s="61"/>
      <c r="O23" s="61"/>
      <c r="P23" s="467"/>
      <c r="Q23" s="61"/>
      <c r="R23" s="61">
        <v>-4349966</v>
      </c>
      <c r="S23" s="61"/>
      <c r="T23" s="61"/>
      <c r="U23" s="467"/>
      <c r="V23" s="61"/>
      <c r="W23" s="61">
        <v>2527515</v>
      </c>
      <c r="X23" s="61"/>
      <c r="Y23" s="61"/>
      <c r="Z23" s="467"/>
      <c r="AA23" s="61"/>
      <c r="AB23" s="61">
        <v>-24856159</v>
      </c>
      <c r="AC23" s="61"/>
      <c r="AD23" s="61"/>
      <c r="AE23" s="467"/>
      <c r="AF23" s="61"/>
      <c r="AG23" s="61">
        <v>26866570</v>
      </c>
      <c r="AH23" s="61"/>
      <c r="AI23" s="61"/>
      <c r="AJ23" s="467"/>
      <c r="AK23" s="61"/>
      <c r="AL23" s="61">
        <v>-5977613</v>
      </c>
      <c r="AM23" s="61"/>
      <c r="AN23" s="61"/>
      <c r="AO23" s="467"/>
      <c r="AP23" s="61"/>
      <c r="AQ23" s="61">
        <v>0</v>
      </c>
      <c r="AR23" s="61"/>
      <c r="AS23" s="61"/>
      <c r="AT23" s="467"/>
      <c r="AU23" s="61"/>
      <c r="AV23" s="61">
        <v>0</v>
      </c>
      <c r="AW23" s="61"/>
      <c r="AX23" s="61"/>
      <c r="AY23" s="467"/>
      <c r="AZ23" s="61"/>
      <c r="BA23" s="61">
        <v>0</v>
      </c>
      <c r="BB23" s="61"/>
      <c r="BC23" s="61"/>
      <c r="BD23" s="467"/>
      <c r="BE23" s="61"/>
      <c r="BF23" s="61">
        <v>0</v>
      </c>
      <c r="BG23" s="61"/>
      <c r="BH23" s="61"/>
      <c r="BI23" s="467"/>
      <c r="BJ23" s="61"/>
      <c r="BK23" s="61">
        <v>0</v>
      </c>
      <c r="BL23" s="61"/>
      <c r="BM23" s="61"/>
      <c r="BN23" s="467"/>
      <c r="BO23" s="61"/>
      <c r="BP23" s="61">
        <v>0</v>
      </c>
      <c r="BQ23" s="61"/>
      <c r="BR23" s="61"/>
      <c r="BS23" s="467"/>
      <c r="BT23" s="61"/>
      <c r="BU23" s="61">
        <f>SUM(M23:BP23)</f>
        <v>28354006</v>
      </c>
      <c r="BV23" s="61"/>
      <c r="BW23" s="61"/>
      <c r="BX23" s="468"/>
      <c r="BY23" s="411"/>
    </row>
    <row r="24" spans="1:84" x14ac:dyDescent="0.2">
      <c r="A24" s="377"/>
      <c r="B24" s="377"/>
      <c r="C24" s="377"/>
      <c r="D24" s="465"/>
      <c r="E24" s="190"/>
      <c r="F24" s="417"/>
      <c r="G24" s="377"/>
      <c r="H24" s="378"/>
      <c r="I24" s="378"/>
      <c r="J24" s="378"/>
      <c r="K24" s="482"/>
      <c r="L24" s="378"/>
      <c r="M24" s="378"/>
      <c r="N24" s="378"/>
      <c r="O24" s="378"/>
      <c r="P24" s="482"/>
      <c r="Q24" s="378"/>
      <c r="R24" s="378"/>
      <c r="S24" s="378"/>
      <c r="T24" s="378"/>
      <c r="U24" s="482"/>
      <c r="V24" s="378"/>
      <c r="W24" s="378"/>
      <c r="X24" s="378"/>
      <c r="Y24" s="378"/>
      <c r="Z24" s="482"/>
      <c r="AA24" s="378"/>
      <c r="AB24" s="378"/>
      <c r="AC24" s="378"/>
      <c r="AD24" s="378"/>
      <c r="AE24" s="482"/>
      <c r="AF24" s="378"/>
      <c r="AG24" s="378"/>
      <c r="AH24" s="378"/>
      <c r="AI24" s="378"/>
      <c r="AJ24" s="482"/>
      <c r="AK24" s="378"/>
      <c r="AL24" s="378"/>
      <c r="AM24" s="378"/>
      <c r="AN24" s="378"/>
      <c r="AO24" s="482"/>
      <c r="AP24" s="378"/>
      <c r="AQ24" s="378"/>
      <c r="AR24" s="378"/>
      <c r="AS24" s="378"/>
      <c r="AT24" s="482"/>
      <c r="AU24" s="378"/>
      <c r="AV24" s="378"/>
      <c r="AW24" s="378"/>
      <c r="AX24" s="378"/>
      <c r="AY24" s="482"/>
      <c r="AZ24" s="378"/>
      <c r="BA24" s="378"/>
      <c r="BB24" s="378"/>
      <c r="BC24" s="378"/>
      <c r="BD24" s="482"/>
      <c r="BE24" s="378"/>
      <c r="BF24" s="378"/>
      <c r="BG24" s="378"/>
      <c r="BH24" s="378"/>
      <c r="BI24" s="482"/>
      <c r="BJ24" s="378"/>
      <c r="BK24" s="378"/>
      <c r="BL24" s="378"/>
      <c r="BM24" s="378"/>
      <c r="BN24" s="482"/>
      <c r="BO24" s="378"/>
      <c r="BP24" s="378"/>
      <c r="BQ24" s="378"/>
      <c r="BR24" s="378"/>
      <c r="BS24" s="482"/>
      <c r="BT24" s="378"/>
      <c r="BU24" s="377"/>
      <c r="BV24" s="377"/>
      <c r="BW24" s="377"/>
      <c r="BX24" s="465"/>
      <c r="BY24" s="377"/>
      <c r="BZ24" s="410"/>
    </row>
    <row r="25" spans="1:84" s="410" customFormat="1" x14ac:dyDescent="0.2">
      <c r="A25" s="411"/>
      <c r="B25" s="411"/>
      <c r="C25" s="411"/>
      <c r="D25" s="455" t="s">
        <v>533</v>
      </c>
      <c r="E25" s="446"/>
      <c r="F25" s="485"/>
      <c r="G25" s="411"/>
      <c r="H25" s="486">
        <v>0</v>
      </c>
      <c r="I25" s="486"/>
      <c r="J25" s="486"/>
      <c r="K25" s="487"/>
      <c r="L25" s="486"/>
      <c r="M25" s="486">
        <v>0</v>
      </c>
      <c r="N25" s="486"/>
      <c r="O25" s="486"/>
      <c r="P25" s="487"/>
      <c r="Q25" s="486"/>
      <c r="R25" s="486">
        <v>0</v>
      </c>
      <c r="S25" s="486"/>
      <c r="T25" s="486"/>
      <c r="U25" s="487"/>
      <c r="V25" s="486"/>
      <c r="W25" s="486">
        <v>0</v>
      </c>
      <c r="X25" s="486"/>
      <c r="Y25" s="486"/>
      <c r="Z25" s="487"/>
      <c r="AA25" s="486"/>
      <c r="AB25" s="486">
        <v>0</v>
      </c>
      <c r="AC25" s="486"/>
      <c r="AD25" s="486"/>
      <c r="AE25" s="487"/>
      <c r="AF25" s="486"/>
      <c r="AG25" s="486">
        <v>0</v>
      </c>
      <c r="AH25" s="486"/>
      <c r="AI25" s="486"/>
      <c r="AJ25" s="487"/>
      <c r="AK25" s="486"/>
      <c r="AL25" s="486">
        <v>0</v>
      </c>
      <c r="AM25" s="486"/>
      <c r="AN25" s="486"/>
      <c r="AO25" s="487"/>
      <c r="AP25" s="486"/>
      <c r="AQ25" s="486">
        <v>0</v>
      </c>
      <c r="AR25" s="486"/>
      <c r="AS25" s="486"/>
      <c r="AT25" s="487"/>
      <c r="AU25" s="486"/>
      <c r="AV25" s="486">
        <v>0</v>
      </c>
      <c r="AW25" s="486"/>
      <c r="AX25" s="486"/>
      <c r="AY25" s="487"/>
      <c r="AZ25" s="486"/>
      <c r="BA25" s="486">
        <v>0</v>
      </c>
      <c r="BB25" s="486"/>
      <c r="BC25" s="486"/>
      <c r="BD25" s="487"/>
      <c r="BE25" s="486"/>
      <c r="BF25" s="486">
        <v>0</v>
      </c>
      <c r="BG25" s="486"/>
      <c r="BH25" s="486"/>
      <c r="BI25" s="487"/>
      <c r="BJ25" s="486"/>
      <c r="BK25" s="486">
        <v>0</v>
      </c>
      <c r="BL25" s="486"/>
      <c r="BM25" s="486"/>
      <c r="BN25" s="487"/>
      <c r="BO25" s="486"/>
      <c r="BP25" s="486">
        <v>0</v>
      </c>
      <c r="BQ25" s="486"/>
      <c r="BR25" s="486"/>
      <c r="BS25" s="487"/>
      <c r="BT25" s="486"/>
      <c r="BU25" s="61">
        <f>SUM(M25:BP25)</f>
        <v>0</v>
      </c>
      <c r="BV25" s="411"/>
      <c r="BW25" s="411"/>
      <c r="BX25" s="455"/>
      <c r="BY25" s="411"/>
      <c r="CF25" s="488"/>
    </row>
    <row r="26" spans="1:84" x14ac:dyDescent="0.2">
      <c r="A26" s="377"/>
      <c r="B26" s="377"/>
      <c r="C26" s="377"/>
      <c r="D26" s="465"/>
      <c r="E26" s="190"/>
      <c r="F26" s="417"/>
      <c r="G26" s="377"/>
      <c r="H26" s="378"/>
      <c r="I26" s="378"/>
      <c r="J26" s="378"/>
      <c r="K26" s="482"/>
      <c r="L26" s="378"/>
      <c r="M26" s="378"/>
      <c r="N26" s="378"/>
      <c r="O26" s="378"/>
      <c r="P26" s="482"/>
      <c r="Q26" s="378"/>
      <c r="R26" s="378"/>
      <c r="S26" s="378"/>
      <c r="T26" s="378"/>
      <c r="U26" s="482"/>
      <c r="V26" s="378"/>
      <c r="W26" s="378"/>
      <c r="X26" s="378"/>
      <c r="Y26" s="378"/>
      <c r="Z26" s="482"/>
      <c r="AA26" s="378"/>
      <c r="AB26" s="378"/>
      <c r="AC26" s="378"/>
      <c r="AD26" s="378"/>
      <c r="AE26" s="482"/>
      <c r="AF26" s="378"/>
      <c r="AG26" s="378"/>
      <c r="AH26" s="378"/>
      <c r="AI26" s="378"/>
      <c r="AJ26" s="482"/>
      <c r="AK26" s="378"/>
      <c r="AL26" s="378"/>
      <c r="AM26" s="378"/>
      <c r="AN26" s="378"/>
      <c r="AO26" s="482"/>
      <c r="AP26" s="378"/>
      <c r="AQ26" s="378"/>
      <c r="AR26" s="378"/>
      <c r="AS26" s="378"/>
      <c r="AT26" s="482"/>
      <c r="AU26" s="378"/>
      <c r="AV26" s="378"/>
      <c r="AW26" s="378"/>
      <c r="AX26" s="378"/>
      <c r="AY26" s="482"/>
      <c r="AZ26" s="378"/>
      <c r="BA26" s="378"/>
      <c r="BB26" s="378"/>
      <c r="BC26" s="378"/>
      <c r="BD26" s="482"/>
      <c r="BE26" s="378"/>
      <c r="BF26" s="378"/>
      <c r="BG26" s="378"/>
      <c r="BH26" s="378"/>
      <c r="BI26" s="482"/>
      <c r="BJ26" s="378"/>
      <c r="BK26" s="378"/>
      <c r="BL26" s="378"/>
      <c r="BM26" s="378"/>
      <c r="BN26" s="482"/>
      <c r="BO26" s="378"/>
      <c r="BP26" s="378"/>
      <c r="BQ26" s="378"/>
      <c r="BR26" s="378"/>
      <c r="BS26" s="482"/>
      <c r="BT26" s="378"/>
      <c r="BU26" s="378"/>
      <c r="BV26" s="378"/>
      <c r="BW26" s="378"/>
      <c r="BX26" s="484"/>
      <c r="BY26" s="377"/>
      <c r="BZ26" s="410"/>
    </row>
    <row r="27" spans="1:84" s="410" customFormat="1" x14ac:dyDescent="0.2">
      <c r="A27" s="411"/>
      <c r="B27" s="411"/>
      <c r="C27" s="411"/>
      <c r="D27" s="455" t="s">
        <v>534</v>
      </c>
      <c r="E27" s="190" t="s">
        <v>88</v>
      </c>
      <c r="F27" s="417"/>
      <c r="G27" s="377"/>
      <c r="H27" s="61">
        <f>SUM(H28:H29)</f>
        <v>4082765.4477415099</v>
      </c>
      <c r="I27" s="61"/>
      <c r="J27" s="61"/>
      <c r="K27" s="467"/>
      <c r="L27" s="61"/>
      <c r="M27" s="61">
        <f>SUM(M28:M29)</f>
        <v>0</v>
      </c>
      <c r="N27" s="61"/>
      <c r="O27" s="61"/>
      <c r="P27" s="467"/>
      <c r="Q27" s="61"/>
      <c r="R27" s="61">
        <f>SUM(R28:R29)</f>
        <v>871744.25600000005</v>
      </c>
      <c r="S27" s="61"/>
      <c r="T27" s="61"/>
      <c r="U27" s="467"/>
      <c r="V27" s="61"/>
      <c r="W27" s="61">
        <f>SUM(W28:W29)</f>
        <v>0</v>
      </c>
      <c r="X27" s="61"/>
      <c r="Y27" s="61"/>
      <c r="Z27" s="467"/>
      <c r="AA27" s="61"/>
      <c r="AB27" s="61">
        <f>SUM(AB28:AB29)</f>
        <v>126224</v>
      </c>
      <c r="AC27" s="61"/>
      <c r="AD27" s="61"/>
      <c r="AE27" s="467"/>
      <c r="AF27" s="61"/>
      <c r="AG27" s="61">
        <f>SUM(AG28:AG29)</f>
        <v>0</v>
      </c>
      <c r="AH27" s="61"/>
      <c r="AI27" s="61"/>
      <c r="AJ27" s="467"/>
      <c r="AK27" s="61"/>
      <c r="AL27" s="61">
        <f>SUM(AL28:AL29)</f>
        <v>3836</v>
      </c>
      <c r="AM27" s="61"/>
      <c r="AN27" s="61"/>
      <c r="AO27" s="467"/>
      <c r="AP27" s="61"/>
      <c r="AQ27" s="61">
        <f>SUM(AQ28:AQ29)</f>
        <v>0</v>
      </c>
      <c r="AR27" s="61"/>
      <c r="AS27" s="61"/>
      <c r="AT27" s="467"/>
      <c r="AU27" s="61"/>
      <c r="AV27" s="61">
        <f>SUM(AV28:AV29)</f>
        <v>0</v>
      </c>
      <c r="AW27" s="61"/>
      <c r="AX27" s="61"/>
      <c r="AY27" s="467"/>
      <c r="AZ27" s="61"/>
      <c r="BA27" s="61">
        <f>SUM(BA28:BA29)</f>
        <v>0</v>
      </c>
      <c r="BB27" s="61"/>
      <c r="BC27" s="61"/>
      <c r="BD27" s="467"/>
      <c r="BE27" s="61"/>
      <c r="BF27" s="61">
        <f>SUM(BF28:BF29)</f>
        <v>0</v>
      </c>
      <c r="BG27" s="61"/>
      <c r="BH27" s="61"/>
      <c r="BI27" s="467"/>
      <c r="BJ27" s="61"/>
      <c r="BK27" s="61">
        <f>SUM(BK28:BK29)</f>
        <v>0</v>
      </c>
      <c r="BL27" s="61"/>
      <c r="BM27" s="61"/>
      <c r="BN27" s="467"/>
      <c r="BO27" s="61"/>
      <c r="BP27" s="61">
        <f>SUM(BP28:BP29)</f>
        <v>0</v>
      </c>
      <c r="BQ27" s="61"/>
      <c r="BR27" s="61"/>
      <c r="BS27" s="467"/>
      <c r="BT27" s="61"/>
      <c r="BU27" s="61">
        <f>SUM(BU28:BU29)</f>
        <v>1001804.2560000001</v>
      </c>
      <c r="BV27" s="61"/>
      <c r="BW27" s="61"/>
      <c r="BX27" s="468"/>
      <c r="BY27" s="411"/>
    </row>
    <row r="28" spans="1:84" s="410" customFormat="1" x14ac:dyDescent="0.2">
      <c r="A28" s="411"/>
      <c r="B28" s="411"/>
      <c r="C28" s="411"/>
      <c r="D28" s="489" t="s">
        <v>535</v>
      </c>
      <c r="E28" s="446"/>
      <c r="F28" s="490"/>
      <c r="G28" s="491"/>
      <c r="H28" s="492">
        <v>4082765.4477415099</v>
      </c>
      <c r="I28" s="492"/>
      <c r="J28" s="81"/>
      <c r="K28" s="81"/>
      <c r="L28" s="492"/>
      <c r="M28" s="492">
        <v>0</v>
      </c>
      <c r="N28" s="492"/>
      <c r="O28" s="81"/>
      <c r="P28" s="81"/>
      <c r="Q28" s="492"/>
      <c r="R28" s="492">
        <v>871744.25600000005</v>
      </c>
      <c r="S28" s="492"/>
      <c r="T28" s="81"/>
      <c r="U28" s="81"/>
      <c r="V28" s="492"/>
      <c r="W28" s="492">
        <v>0</v>
      </c>
      <c r="X28" s="492"/>
      <c r="Y28" s="81"/>
      <c r="Z28" s="81"/>
      <c r="AA28" s="492"/>
      <c r="AB28" s="492">
        <v>126224</v>
      </c>
      <c r="AC28" s="492"/>
      <c r="AD28" s="81"/>
      <c r="AE28" s="81"/>
      <c r="AF28" s="492"/>
      <c r="AG28" s="492">
        <v>0</v>
      </c>
      <c r="AH28" s="492"/>
      <c r="AI28" s="81"/>
      <c r="AJ28" s="81"/>
      <c r="AK28" s="492"/>
      <c r="AL28" s="492">
        <v>3836</v>
      </c>
      <c r="AM28" s="492"/>
      <c r="AN28" s="81"/>
      <c r="AO28" s="81"/>
      <c r="AP28" s="492"/>
      <c r="AQ28" s="492">
        <v>0</v>
      </c>
      <c r="AR28" s="492"/>
      <c r="AS28" s="81"/>
      <c r="AT28" s="81"/>
      <c r="AU28" s="492"/>
      <c r="AV28" s="492">
        <v>0</v>
      </c>
      <c r="AW28" s="492"/>
      <c r="AX28" s="81"/>
      <c r="AY28" s="81"/>
      <c r="AZ28" s="492"/>
      <c r="BA28" s="492">
        <v>0</v>
      </c>
      <c r="BB28" s="493"/>
      <c r="BC28" s="81"/>
      <c r="BD28" s="81"/>
      <c r="BE28" s="493"/>
      <c r="BF28" s="492">
        <v>0</v>
      </c>
      <c r="BG28" s="492"/>
      <c r="BH28" s="81"/>
      <c r="BI28" s="81"/>
      <c r="BJ28" s="492"/>
      <c r="BK28" s="492">
        <v>0</v>
      </c>
      <c r="BL28" s="492"/>
      <c r="BM28" s="81"/>
      <c r="BN28" s="81"/>
      <c r="BO28" s="492"/>
      <c r="BP28" s="492">
        <v>0</v>
      </c>
      <c r="BQ28" s="492"/>
      <c r="BR28" s="81"/>
      <c r="BS28" s="81"/>
      <c r="BT28" s="492"/>
      <c r="BU28" s="492">
        <f>SUM(M28:BP28)</f>
        <v>1001804.2560000001</v>
      </c>
      <c r="BV28" s="492"/>
      <c r="BW28" s="81"/>
      <c r="BX28" s="468"/>
      <c r="BY28" s="411"/>
    </row>
    <row r="29" spans="1:84" hidden="1" x14ac:dyDescent="0.2">
      <c r="A29" s="377"/>
      <c r="B29" s="377"/>
      <c r="C29" s="377"/>
      <c r="D29" s="494" t="s">
        <v>536</v>
      </c>
      <c r="E29" s="190"/>
      <c r="F29" s="417"/>
      <c r="G29" s="478"/>
      <c r="H29" s="479">
        <v>0</v>
      </c>
      <c r="I29" s="480"/>
      <c r="J29" s="83"/>
      <c r="K29" s="472"/>
      <c r="L29" s="481"/>
      <c r="M29" s="479">
        <v>0</v>
      </c>
      <c r="N29" s="480"/>
      <c r="O29" s="83"/>
      <c r="P29" s="472"/>
      <c r="Q29" s="481"/>
      <c r="R29" s="479">
        <v>0</v>
      </c>
      <c r="S29" s="480"/>
      <c r="T29" s="83"/>
      <c r="U29" s="472"/>
      <c r="V29" s="481"/>
      <c r="W29" s="479">
        <v>0</v>
      </c>
      <c r="X29" s="480"/>
      <c r="Y29" s="83"/>
      <c r="Z29" s="472"/>
      <c r="AA29" s="481"/>
      <c r="AB29" s="479">
        <v>0</v>
      </c>
      <c r="AC29" s="480"/>
      <c r="AD29" s="83"/>
      <c r="AE29" s="472"/>
      <c r="AF29" s="481"/>
      <c r="AG29" s="479">
        <v>0</v>
      </c>
      <c r="AH29" s="480"/>
      <c r="AI29" s="83"/>
      <c r="AJ29" s="472"/>
      <c r="AK29" s="481"/>
      <c r="AL29" s="479">
        <v>0</v>
      </c>
      <c r="AM29" s="480"/>
      <c r="AN29" s="83"/>
      <c r="AO29" s="472"/>
      <c r="AP29" s="481"/>
      <c r="AQ29" s="479">
        <v>0</v>
      </c>
      <c r="AR29" s="480"/>
      <c r="AS29" s="83"/>
      <c r="AT29" s="472"/>
      <c r="AU29" s="481"/>
      <c r="AV29" s="479">
        <v>0</v>
      </c>
      <c r="AW29" s="480"/>
      <c r="AX29" s="83"/>
      <c r="AY29" s="472"/>
      <c r="AZ29" s="481"/>
      <c r="BA29" s="479">
        <v>0</v>
      </c>
      <c r="BB29" s="480"/>
      <c r="BC29" s="83"/>
      <c r="BD29" s="472"/>
      <c r="BE29" s="481"/>
      <c r="BF29" s="479">
        <v>0</v>
      </c>
      <c r="BG29" s="480"/>
      <c r="BH29" s="83"/>
      <c r="BI29" s="472"/>
      <c r="BJ29" s="481"/>
      <c r="BK29" s="479">
        <v>0</v>
      </c>
      <c r="BL29" s="480"/>
      <c r="BM29" s="83"/>
      <c r="BN29" s="472"/>
      <c r="BO29" s="481"/>
      <c r="BP29" s="479">
        <v>0</v>
      </c>
      <c r="BQ29" s="480"/>
      <c r="BR29" s="83"/>
      <c r="BS29" s="472"/>
      <c r="BT29" s="481"/>
      <c r="BU29" s="479">
        <f>SUM(M29:BP29)</f>
        <v>0</v>
      </c>
      <c r="BV29" s="480"/>
      <c r="BW29" s="83"/>
      <c r="BX29" s="474"/>
      <c r="BY29" s="377"/>
      <c r="BZ29" s="410"/>
    </row>
    <row r="30" spans="1:84" x14ac:dyDescent="0.2">
      <c r="A30" s="377"/>
      <c r="B30" s="377"/>
      <c r="C30" s="377"/>
      <c r="D30" s="465"/>
      <c r="E30" s="190"/>
      <c r="F30" s="417"/>
      <c r="G30" s="377"/>
      <c r="H30" s="377"/>
      <c r="I30" s="377"/>
      <c r="J30" s="377"/>
      <c r="K30" s="417"/>
      <c r="L30" s="377"/>
      <c r="M30" s="377"/>
      <c r="N30" s="377"/>
      <c r="O30" s="377"/>
      <c r="P30" s="417"/>
      <c r="Q30" s="377"/>
      <c r="R30" s="377"/>
      <c r="S30" s="377"/>
      <c r="T30" s="377"/>
      <c r="U30" s="417"/>
      <c r="V30" s="377"/>
      <c r="W30" s="377"/>
      <c r="X30" s="377"/>
      <c r="Y30" s="377"/>
      <c r="Z30" s="417"/>
      <c r="AA30" s="377"/>
      <c r="AB30" s="377"/>
      <c r="AC30" s="377"/>
      <c r="AD30" s="377"/>
      <c r="AE30" s="417"/>
      <c r="AF30" s="377"/>
      <c r="AG30" s="377"/>
      <c r="AH30" s="377"/>
      <c r="AI30" s="377"/>
      <c r="AJ30" s="417"/>
      <c r="AK30" s="377"/>
      <c r="AL30" s="377"/>
      <c r="AM30" s="377"/>
      <c r="AN30" s="377"/>
      <c r="AO30" s="417"/>
      <c r="AP30" s="377"/>
      <c r="AQ30" s="377"/>
      <c r="AR30" s="377"/>
      <c r="AS30" s="377"/>
      <c r="AT30" s="417"/>
      <c r="AU30" s="377"/>
      <c r="AV30" s="377"/>
      <c r="AW30" s="377"/>
      <c r="AX30" s="377"/>
      <c r="AY30" s="417"/>
      <c r="AZ30" s="377"/>
      <c r="BA30" s="377"/>
      <c r="BB30" s="377"/>
      <c r="BC30" s="377"/>
      <c r="BD30" s="417"/>
      <c r="BE30" s="377"/>
      <c r="BF30" s="377"/>
      <c r="BG30" s="377"/>
      <c r="BH30" s="377"/>
      <c r="BI30" s="417"/>
      <c r="BJ30" s="377"/>
      <c r="BK30" s="377"/>
      <c r="BL30" s="377"/>
      <c r="BM30" s="377"/>
      <c r="BN30" s="417"/>
      <c r="BO30" s="377"/>
      <c r="BP30" s="377"/>
      <c r="BQ30" s="377"/>
      <c r="BR30" s="377"/>
      <c r="BS30" s="417"/>
      <c r="BT30" s="377"/>
      <c r="BU30" s="377"/>
      <c r="BV30" s="377"/>
      <c r="BW30" s="83"/>
      <c r="BX30" s="474"/>
      <c r="BY30" s="377"/>
      <c r="BZ30" s="410"/>
    </row>
    <row r="31" spans="1:84" x14ac:dyDescent="0.2">
      <c r="A31" s="377"/>
      <c r="B31" s="377"/>
      <c r="C31" s="377"/>
      <c r="D31" s="465"/>
      <c r="E31" s="190"/>
      <c r="F31" s="417"/>
      <c r="G31" s="377"/>
      <c r="H31" s="378"/>
      <c r="I31" s="378"/>
      <c r="J31" s="378"/>
      <c r="K31" s="482"/>
      <c r="L31" s="378"/>
      <c r="M31" s="378"/>
      <c r="N31" s="378"/>
      <c r="O31" s="378"/>
      <c r="P31" s="482"/>
      <c r="Q31" s="378"/>
      <c r="R31" s="378"/>
      <c r="S31" s="378"/>
      <c r="T31" s="378"/>
      <c r="U31" s="482"/>
      <c r="V31" s="378"/>
      <c r="W31" s="378"/>
      <c r="X31" s="378"/>
      <c r="Y31" s="378"/>
      <c r="Z31" s="482"/>
      <c r="AA31" s="378"/>
      <c r="AB31" s="378"/>
      <c r="AC31" s="378"/>
      <c r="AD31" s="378"/>
      <c r="AE31" s="482"/>
      <c r="AF31" s="378"/>
      <c r="AG31" s="378"/>
      <c r="AH31" s="378"/>
      <c r="AI31" s="378"/>
      <c r="AJ31" s="482"/>
      <c r="AK31" s="378"/>
      <c r="AL31" s="378"/>
      <c r="AM31" s="378"/>
      <c r="AN31" s="378"/>
      <c r="AO31" s="482"/>
      <c r="AP31" s="378"/>
      <c r="AQ31" s="378"/>
      <c r="AR31" s="378"/>
      <c r="AS31" s="378"/>
      <c r="AT31" s="482"/>
      <c r="AU31" s="378"/>
      <c r="AV31" s="378"/>
      <c r="AW31" s="378"/>
      <c r="AX31" s="378"/>
      <c r="AY31" s="482"/>
      <c r="AZ31" s="378"/>
      <c r="BA31" s="378"/>
      <c r="BB31" s="378"/>
      <c r="BC31" s="378"/>
      <c r="BD31" s="482"/>
      <c r="BE31" s="378"/>
      <c r="BF31" s="378"/>
      <c r="BG31" s="378"/>
      <c r="BH31" s="378"/>
      <c r="BI31" s="482"/>
      <c r="BJ31" s="378"/>
      <c r="BK31" s="378"/>
      <c r="BL31" s="378"/>
      <c r="BM31" s="378"/>
      <c r="BN31" s="482"/>
      <c r="BO31" s="378"/>
      <c r="BP31" s="378"/>
      <c r="BQ31" s="378"/>
      <c r="BR31" s="378"/>
      <c r="BS31" s="482"/>
      <c r="BT31" s="378"/>
      <c r="BU31" s="378"/>
      <c r="BV31" s="378"/>
      <c r="BW31" s="378"/>
      <c r="BX31" s="484"/>
      <c r="BY31" s="377"/>
      <c r="BZ31" s="410"/>
      <c r="CF31" s="495"/>
    </row>
    <row r="32" spans="1:84" s="410" customFormat="1" x14ac:dyDescent="0.2">
      <c r="A32" s="411"/>
      <c r="B32" s="411"/>
      <c r="C32" s="411"/>
      <c r="D32" s="455" t="s">
        <v>537</v>
      </c>
      <c r="E32" s="190" t="s">
        <v>116</v>
      </c>
      <c r="F32" s="417"/>
      <c r="G32" s="61"/>
      <c r="H32" s="486">
        <f>SUM(H33:H34)</f>
        <v>0</v>
      </c>
      <c r="I32" s="61"/>
      <c r="J32" s="61"/>
      <c r="K32" s="467"/>
      <c r="L32" s="61"/>
      <c r="M32" s="61">
        <f>SUM(M33:M34)</f>
        <v>0</v>
      </c>
      <c r="N32" s="61"/>
      <c r="O32" s="61"/>
      <c r="P32" s="467"/>
      <c r="Q32" s="61"/>
      <c r="R32" s="61">
        <f>SUM(R33:R34)</f>
        <v>0</v>
      </c>
      <c r="S32" s="61"/>
      <c r="T32" s="61"/>
      <c r="U32" s="467"/>
      <c r="V32" s="61"/>
      <c r="W32" s="61">
        <f>SUM(W33:W34)</f>
        <v>0</v>
      </c>
      <c r="X32" s="61"/>
      <c r="Y32" s="61"/>
      <c r="Z32" s="467"/>
      <c r="AA32" s="61"/>
      <c r="AB32" s="61">
        <f>SUM(AB33:AB34)</f>
        <v>-22185</v>
      </c>
      <c r="AC32" s="61"/>
      <c r="AD32" s="61"/>
      <c r="AE32" s="467"/>
      <c r="AF32" s="61"/>
      <c r="AG32" s="61">
        <f>SUM(AG33:AG34)</f>
        <v>0</v>
      </c>
      <c r="AH32" s="61"/>
      <c r="AI32" s="61"/>
      <c r="AJ32" s="467"/>
      <c r="AK32" s="61"/>
      <c r="AL32" s="61">
        <f>SUM(AL33:AL34)</f>
        <v>0</v>
      </c>
      <c r="AM32" s="61"/>
      <c r="AN32" s="61"/>
      <c r="AO32" s="467"/>
      <c r="AP32" s="61"/>
      <c r="AQ32" s="61">
        <f>SUM(AQ33:AQ34)</f>
        <v>0</v>
      </c>
      <c r="AR32" s="61"/>
      <c r="AS32" s="61"/>
      <c r="AT32" s="467"/>
      <c r="AU32" s="61"/>
      <c r="AV32" s="61">
        <f>SUM(AV33:AV34)</f>
        <v>0</v>
      </c>
      <c r="AW32" s="61"/>
      <c r="AX32" s="61"/>
      <c r="AY32" s="467"/>
      <c r="AZ32" s="61"/>
      <c r="BA32" s="61">
        <f>SUM(BA33:BA34)</f>
        <v>0</v>
      </c>
      <c r="BB32" s="61"/>
      <c r="BC32" s="61"/>
      <c r="BD32" s="467"/>
      <c r="BE32" s="61"/>
      <c r="BF32" s="61">
        <f>SUM(BF33:BF34)</f>
        <v>0</v>
      </c>
      <c r="BG32" s="61"/>
      <c r="BH32" s="61"/>
      <c r="BI32" s="467"/>
      <c r="BJ32" s="61"/>
      <c r="BK32" s="61">
        <f>SUM(BK33:BK34)</f>
        <v>0</v>
      </c>
      <c r="BL32" s="61"/>
      <c r="BM32" s="61"/>
      <c r="BN32" s="467"/>
      <c r="BO32" s="61"/>
      <c r="BP32" s="61">
        <f>SUM(BP33:BP34)</f>
        <v>0</v>
      </c>
      <c r="BQ32" s="486"/>
      <c r="BR32" s="486"/>
      <c r="BS32" s="487"/>
      <c r="BT32" s="61"/>
      <c r="BU32" s="486">
        <f>SUM(BU33:BU34)</f>
        <v>-22185</v>
      </c>
      <c r="BV32" s="61"/>
      <c r="BW32" s="486"/>
      <c r="BX32" s="454"/>
      <c r="BY32" s="411"/>
    </row>
    <row r="33" spans="1:78" s="410" customFormat="1" x14ac:dyDescent="0.2">
      <c r="A33" s="411"/>
      <c r="B33" s="411"/>
      <c r="C33" s="411"/>
      <c r="D33" s="489" t="s">
        <v>538</v>
      </c>
      <c r="E33" s="446"/>
      <c r="F33" s="490"/>
      <c r="G33" s="491"/>
      <c r="H33" s="492">
        <v>0</v>
      </c>
      <c r="I33" s="492"/>
      <c r="J33" s="81"/>
      <c r="K33" s="81"/>
      <c r="L33" s="492"/>
      <c r="M33" s="492">
        <v>0</v>
      </c>
      <c r="N33" s="492"/>
      <c r="O33" s="81"/>
      <c r="P33" s="81"/>
      <c r="Q33" s="492"/>
      <c r="R33" s="492">
        <v>0</v>
      </c>
      <c r="S33" s="492"/>
      <c r="T33" s="81"/>
      <c r="U33" s="81"/>
      <c r="V33" s="492"/>
      <c r="W33" s="492">
        <v>0</v>
      </c>
      <c r="X33" s="492"/>
      <c r="Y33" s="81"/>
      <c r="Z33" s="81"/>
      <c r="AA33" s="492"/>
      <c r="AB33" s="492">
        <v>-22185</v>
      </c>
      <c r="AC33" s="492"/>
      <c r="AD33" s="81"/>
      <c r="AE33" s="81"/>
      <c r="AF33" s="492"/>
      <c r="AG33" s="492">
        <v>0</v>
      </c>
      <c r="AH33" s="492"/>
      <c r="AI33" s="81"/>
      <c r="AJ33" s="81"/>
      <c r="AK33" s="492"/>
      <c r="AL33" s="492">
        <v>0</v>
      </c>
      <c r="AM33" s="492"/>
      <c r="AN33" s="81"/>
      <c r="AO33" s="81"/>
      <c r="AP33" s="492"/>
      <c r="AQ33" s="492">
        <v>0</v>
      </c>
      <c r="AR33" s="492"/>
      <c r="AS33" s="81"/>
      <c r="AT33" s="81"/>
      <c r="AU33" s="492"/>
      <c r="AV33" s="492">
        <v>0</v>
      </c>
      <c r="AW33" s="492"/>
      <c r="AX33" s="81"/>
      <c r="AY33" s="81"/>
      <c r="AZ33" s="492"/>
      <c r="BA33" s="492">
        <v>0</v>
      </c>
      <c r="BB33" s="493"/>
      <c r="BC33" s="81"/>
      <c r="BD33" s="81"/>
      <c r="BE33" s="493"/>
      <c r="BF33" s="492">
        <v>0</v>
      </c>
      <c r="BG33" s="492"/>
      <c r="BH33" s="81"/>
      <c r="BI33" s="81"/>
      <c r="BJ33" s="492"/>
      <c r="BK33" s="492">
        <v>0</v>
      </c>
      <c r="BL33" s="492"/>
      <c r="BM33" s="81"/>
      <c r="BN33" s="81"/>
      <c r="BO33" s="492"/>
      <c r="BP33" s="492">
        <v>0</v>
      </c>
      <c r="BQ33" s="492"/>
      <c r="BR33" s="81"/>
      <c r="BS33" s="81"/>
      <c r="BT33" s="492"/>
      <c r="BU33" s="492">
        <f>SUM(M33:BP33)</f>
        <v>-22185</v>
      </c>
      <c r="BV33" s="492"/>
      <c r="BW33" s="81"/>
      <c r="BX33" s="468"/>
      <c r="BY33" s="411"/>
    </row>
    <row r="34" spans="1:78" hidden="1" x14ac:dyDescent="0.2">
      <c r="A34" s="377"/>
      <c r="B34" s="377"/>
      <c r="C34" s="377"/>
      <c r="D34" s="494" t="s">
        <v>536</v>
      </c>
      <c r="E34" s="190"/>
      <c r="F34" s="417"/>
      <c r="G34" s="478"/>
      <c r="H34" s="479">
        <v>0</v>
      </c>
      <c r="I34" s="480"/>
      <c r="J34" s="83"/>
      <c r="K34" s="472"/>
      <c r="L34" s="478"/>
      <c r="M34" s="479">
        <v>0</v>
      </c>
      <c r="N34" s="480"/>
      <c r="O34" s="83"/>
      <c r="P34" s="472"/>
      <c r="Q34" s="481"/>
      <c r="R34" s="479">
        <v>0</v>
      </c>
      <c r="S34" s="480"/>
      <c r="T34" s="83"/>
      <c r="U34" s="472"/>
      <c r="V34" s="481"/>
      <c r="W34" s="479">
        <v>0</v>
      </c>
      <c r="X34" s="480"/>
      <c r="Y34" s="83"/>
      <c r="Z34" s="472"/>
      <c r="AA34" s="481"/>
      <c r="AB34" s="479">
        <v>0</v>
      </c>
      <c r="AC34" s="480"/>
      <c r="AD34" s="83"/>
      <c r="AE34" s="472"/>
      <c r="AF34" s="481"/>
      <c r="AG34" s="479">
        <v>0</v>
      </c>
      <c r="AH34" s="480"/>
      <c r="AI34" s="83"/>
      <c r="AJ34" s="472"/>
      <c r="AK34" s="481"/>
      <c r="AL34" s="479">
        <v>0</v>
      </c>
      <c r="AM34" s="480"/>
      <c r="AN34" s="83"/>
      <c r="AO34" s="472"/>
      <c r="AP34" s="481"/>
      <c r="AQ34" s="479">
        <v>0</v>
      </c>
      <c r="AR34" s="480"/>
      <c r="AS34" s="83"/>
      <c r="AT34" s="472"/>
      <c r="AU34" s="481"/>
      <c r="AV34" s="479">
        <v>0</v>
      </c>
      <c r="AW34" s="480"/>
      <c r="AX34" s="83"/>
      <c r="AY34" s="472"/>
      <c r="AZ34" s="481"/>
      <c r="BA34" s="479">
        <v>0</v>
      </c>
      <c r="BB34" s="480"/>
      <c r="BC34" s="83"/>
      <c r="BD34" s="472"/>
      <c r="BE34" s="481"/>
      <c r="BF34" s="479">
        <v>0</v>
      </c>
      <c r="BG34" s="480"/>
      <c r="BH34" s="83"/>
      <c r="BI34" s="472"/>
      <c r="BJ34" s="481"/>
      <c r="BK34" s="479">
        <v>0</v>
      </c>
      <c r="BL34" s="480"/>
      <c r="BM34" s="83"/>
      <c r="BN34" s="472"/>
      <c r="BO34" s="481"/>
      <c r="BP34" s="479">
        <v>0</v>
      </c>
      <c r="BQ34" s="480"/>
      <c r="BR34" s="378"/>
      <c r="BS34" s="482"/>
      <c r="BT34" s="478"/>
      <c r="BU34" s="479">
        <f>SUM(M34:BP34)</f>
        <v>0</v>
      </c>
      <c r="BV34" s="480"/>
      <c r="BW34" s="378"/>
      <c r="BX34" s="484"/>
      <c r="BY34" s="377"/>
      <c r="BZ34" s="410"/>
    </row>
    <row r="35" spans="1:78" x14ac:dyDescent="0.2">
      <c r="A35" s="377"/>
      <c r="B35" s="377"/>
      <c r="C35" s="377"/>
      <c r="D35" s="465"/>
      <c r="E35" s="190"/>
      <c r="F35" s="417"/>
      <c r="G35" s="377"/>
      <c r="H35" s="83"/>
      <c r="I35" s="83"/>
      <c r="J35" s="83"/>
      <c r="K35" s="472"/>
      <c r="L35" s="83"/>
      <c r="M35" s="83"/>
      <c r="N35" s="83"/>
      <c r="O35" s="83"/>
      <c r="P35" s="472"/>
      <c r="Q35" s="83"/>
      <c r="R35" s="83"/>
      <c r="S35" s="83"/>
      <c r="T35" s="83"/>
      <c r="U35" s="472"/>
      <c r="V35" s="83"/>
      <c r="W35" s="83"/>
      <c r="X35" s="83"/>
      <c r="Y35" s="83"/>
      <c r="Z35" s="472"/>
      <c r="AA35" s="83"/>
      <c r="AB35" s="83"/>
      <c r="AC35" s="83"/>
      <c r="AD35" s="83"/>
      <c r="AE35" s="472"/>
      <c r="AF35" s="83"/>
      <c r="AG35" s="83"/>
      <c r="AH35" s="83"/>
      <c r="AI35" s="83"/>
      <c r="AJ35" s="472"/>
      <c r="AK35" s="83"/>
      <c r="AL35" s="83"/>
      <c r="AM35" s="83"/>
      <c r="AN35" s="83"/>
      <c r="AO35" s="472"/>
      <c r="AP35" s="83"/>
      <c r="AQ35" s="83"/>
      <c r="AR35" s="83"/>
      <c r="AS35" s="83"/>
      <c r="AT35" s="472"/>
      <c r="AU35" s="83"/>
      <c r="AV35" s="83"/>
      <c r="AW35" s="470"/>
      <c r="AX35" s="83"/>
      <c r="AY35" s="472"/>
      <c r="AZ35" s="83"/>
      <c r="BA35" s="83"/>
      <c r="BB35" s="83"/>
      <c r="BC35" s="83"/>
      <c r="BD35" s="472"/>
      <c r="BE35" s="83"/>
      <c r="BF35" s="83"/>
      <c r="BG35" s="83"/>
      <c r="BH35" s="83"/>
      <c r="BI35" s="472"/>
      <c r="BJ35" s="83"/>
      <c r="BK35" s="83"/>
      <c r="BL35" s="83"/>
      <c r="BM35" s="83"/>
      <c r="BN35" s="472"/>
      <c r="BO35" s="470"/>
      <c r="BP35" s="83"/>
      <c r="BQ35" s="470"/>
      <c r="BR35" s="83"/>
      <c r="BS35" s="472"/>
      <c r="BT35" s="83"/>
      <c r="BU35" s="83"/>
      <c r="BV35" s="83"/>
      <c r="BW35" s="83"/>
      <c r="BX35" s="474"/>
      <c r="BY35" s="377"/>
      <c r="BZ35" s="410"/>
    </row>
    <row r="36" spans="1:78" x14ac:dyDescent="0.2">
      <c r="A36" s="377"/>
      <c r="B36" s="377"/>
      <c r="C36" s="377"/>
      <c r="D36" s="465"/>
      <c r="E36" s="190"/>
      <c r="F36" s="417"/>
      <c r="G36" s="377"/>
      <c r="H36" s="378"/>
      <c r="I36" s="378"/>
      <c r="J36" s="378"/>
      <c r="K36" s="482"/>
      <c r="L36" s="378"/>
      <c r="M36" s="378"/>
      <c r="N36" s="378"/>
      <c r="O36" s="378"/>
      <c r="P36" s="482"/>
      <c r="Q36" s="378"/>
      <c r="R36" s="378"/>
      <c r="S36" s="378"/>
      <c r="T36" s="378"/>
      <c r="U36" s="482"/>
      <c r="V36" s="378"/>
      <c r="W36" s="378"/>
      <c r="X36" s="378"/>
      <c r="Y36" s="378"/>
      <c r="Z36" s="482"/>
      <c r="AA36" s="378"/>
      <c r="AB36" s="378"/>
      <c r="AC36" s="378"/>
      <c r="AD36" s="378"/>
      <c r="AE36" s="482"/>
      <c r="AF36" s="378"/>
      <c r="AG36" s="378"/>
      <c r="AH36" s="378"/>
      <c r="AI36" s="378"/>
      <c r="AJ36" s="482"/>
      <c r="AK36" s="378"/>
      <c r="AL36" s="378"/>
      <c r="AM36" s="378"/>
      <c r="AN36" s="378"/>
      <c r="AO36" s="482"/>
      <c r="AP36" s="378"/>
      <c r="AQ36" s="378"/>
      <c r="AR36" s="378"/>
      <c r="AS36" s="378"/>
      <c r="AT36" s="482"/>
      <c r="AU36" s="378"/>
      <c r="AV36" s="378"/>
      <c r="AW36" s="378"/>
      <c r="AX36" s="378"/>
      <c r="AY36" s="482"/>
      <c r="AZ36" s="378"/>
      <c r="BA36" s="378"/>
      <c r="BB36" s="378"/>
      <c r="BC36" s="378"/>
      <c r="BD36" s="482"/>
      <c r="BE36" s="378"/>
      <c r="BF36" s="378"/>
      <c r="BG36" s="378"/>
      <c r="BH36" s="378"/>
      <c r="BI36" s="482"/>
      <c r="BJ36" s="378"/>
      <c r="BK36" s="378"/>
      <c r="BL36" s="378"/>
      <c r="BM36" s="378"/>
      <c r="BN36" s="482"/>
      <c r="BO36" s="378"/>
      <c r="BP36" s="378"/>
      <c r="BQ36" s="378"/>
      <c r="BR36" s="378"/>
      <c r="BS36" s="482"/>
      <c r="BT36" s="378"/>
      <c r="BU36" s="378"/>
      <c r="BV36" s="378"/>
      <c r="BW36" s="378"/>
      <c r="BX36" s="484"/>
      <c r="BY36" s="377"/>
      <c r="BZ36" s="410"/>
    </row>
    <row r="37" spans="1:78" s="410" customFormat="1" hidden="1" x14ac:dyDescent="0.2">
      <c r="A37" s="411"/>
      <c r="B37" s="411"/>
      <c r="C37" s="411"/>
      <c r="D37" s="455"/>
      <c r="E37" s="446"/>
      <c r="F37" s="485"/>
      <c r="G37" s="411"/>
      <c r="H37" s="61"/>
      <c r="I37" s="61"/>
      <c r="J37" s="61"/>
      <c r="K37" s="467"/>
      <c r="L37" s="61"/>
      <c r="M37" s="61"/>
      <c r="N37" s="61"/>
      <c r="O37" s="61"/>
      <c r="P37" s="467"/>
      <c r="Q37" s="61"/>
      <c r="R37" s="61"/>
      <c r="S37" s="61"/>
      <c r="T37" s="61"/>
      <c r="U37" s="467"/>
      <c r="V37" s="61"/>
      <c r="W37" s="61"/>
      <c r="X37" s="61"/>
      <c r="Y37" s="61"/>
      <c r="Z37" s="467"/>
      <c r="AA37" s="61"/>
      <c r="AB37" s="61"/>
      <c r="AC37" s="61"/>
      <c r="AD37" s="61"/>
      <c r="AE37" s="467"/>
      <c r="AF37" s="61"/>
      <c r="AG37" s="61"/>
      <c r="AH37" s="61"/>
      <c r="AI37" s="61"/>
      <c r="AJ37" s="467"/>
      <c r="AK37" s="61"/>
      <c r="AL37" s="61"/>
      <c r="AM37" s="61"/>
      <c r="AN37" s="61"/>
      <c r="AO37" s="467"/>
      <c r="AP37" s="61"/>
      <c r="AQ37" s="61"/>
      <c r="AR37" s="61"/>
      <c r="AS37" s="61"/>
      <c r="AT37" s="467"/>
      <c r="AU37" s="61"/>
      <c r="AV37" s="61"/>
      <c r="AW37" s="61"/>
      <c r="AX37" s="61"/>
      <c r="AY37" s="467"/>
      <c r="AZ37" s="61"/>
      <c r="BA37" s="61"/>
      <c r="BB37" s="61"/>
      <c r="BC37" s="61"/>
      <c r="BD37" s="467"/>
      <c r="BE37" s="61"/>
      <c r="BF37" s="61"/>
      <c r="BG37" s="61"/>
      <c r="BH37" s="61"/>
      <c r="BI37" s="467"/>
      <c r="BJ37" s="61"/>
      <c r="BK37" s="61"/>
      <c r="BL37" s="61"/>
      <c r="BM37" s="61"/>
      <c r="BN37" s="467"/>
      <c r="BO37" s="61"/>
      <c r="BP37" s="61"/>
      <c r="BQ37" s="61"/>
      <c r="BR37" s="61"/>
      <c r="BS37" s="467"/>
      <c r="BT37" s="61"/>
      <c r="BU37" s="61"/>
      <c r="BV37" s="61"/>
      <c r="BW37" s="61"/>
      <c r="BX37" s="468"/>
      <c r="BY37" s="411"/>
    </row>
    <row r="38" spans="1:78" s="410" customFormat="1" x14ac:dyDescent="0.2">
      <c r="A38" s="411"/>
      <c r="B38" s="411"/>
      <c r="C38" s="411"/>
      <c r="D38" s="455" t="s">
        <v>539</v>
      </c>
      <c r="E38" s="446"/>
      <c r="F38" s="490"/>
      <c r="G38" s="491"/>
      <c r="H38" s="496">
        <v>0</v>
      </c>
      <c r="I38" s="496"/>
      <c r="J38" s="60"/>
      <c r="K38" s="60"/>
      <c r="L38" s="496"/>
      <c r="M38" s="496">
        <f>-[37]original!$F$82</f>
        <v>-34158767.953769997</v>
      </c>
      <c r="N38" s="496"/>
      <c r="O38" s="60"/>
      <c r="P38" s="60"/>
      <c r="Q38" s="496"/>
      <c r="R38" s="496">
        <f>-[38]original!$G$82</f>
        <v>665778.1075699823</v>
      </c>
      <c r="S38" s="496"/>
      <c r="T38" s="60"/>
      <c r="U38" s="60"/>
      <c r="V38" s="496"/>
      <c r="W38" s="496">
        <f>-[39]original!$H$82</f>
        <v>-3529360.3766400218</v>
      </c>
      <c r="X38" s="496"/>
      <c r="Y38" s="60"/>
      <c r="Z38" s="60"/>
      <c r="AA38" s="496"/>
      <c r="AB38" s="496">
        <f>-[40]original!$I$82</f>
        <v>39129472.039829999</v>
      </c>
      <c r="AC38" s="496"/>
      <c r="AD38" s="60"/>
      <c r="AE38" s="60"/>
      <c r="AF38" s="496"/>
      <c r="AG38" s="496">
        <f>-[41]original!$J$82</f>
        <v>-36409361.543499991</v>
      </c>
      <c r="AH38" s="496"/>
      <c r="AI38" s="60"/>
      <c r="AJ38" s="60"/>
      <c r="AK38" s="496"/>
      <c r="AL38" s="496">
        <f>-[42]original!$K$82</f>
        <v>10350561.970830038</v>
      </c>
      <c r="AM38" s="496"/>
      <c r="AN38" s="60"/>
      <c r="AO38" s="60"/>
      <c r="AP38" s="496"/>
      <c r="AQ38" s="496">
        <v>0</v>
      </c>
      <c r="AR38" s="496"/>
      <c r="AS38" s="60"/>
      <c r="AT38" s="60"/>
      <c r="AU38" s="496"/>
      <c r="AV38" s="496">
        <v>0</v>
      </c>
      <c r="AW38" s="496"/>
      <c r="AX38" s="60"/>
      <c r="AY38" s="60"/>
      <c r="AZ38" s="496"/>
      <c r="BA38" s="496">
        <v>0</v>
      </c>
      <c r="BB38" s="497"/>
      <c r="BC38" s="60"/>
      <c r="BD38" s="60"/>
      <c r="BE38" s="497"/>
      <c r="BF38" s="496">
        <v>0</v>
      </c>
      <c r="BG38" s="496"/>
      <c r="BH38" s="60"/>
      <c r="BI38" s="60"/>
      <c r="BJ38" s="496"/>
      <c r="BK38" s="496">
        <v>0</v>
      </c>
      <c r="BL38" s="496"/>
      <c r="BM38" s="60"/>
      <c r="BN38" s="60"/>
      <c r="BO38" s="496"/>
      <c r="BP38" s="496">
        <v>0</v>
      </c>
      <c r="BQ38" s="496"/>
      <c r="BR38" s="60"/>
      <c r="BS38" s="60"/>
      <c r="BT38" s="496"/>
      <c r="BU38" s="496">
        <f>SUM(M38:BP38)</f>
        <v>-23951677.755679995</v>
      </c>
      <c r="BV38" s="496"/>
      <c r="BW38" s="60"/>
      <c r="BX38" s="468"/>
      <c r="BY38" s="411"/>
    </row>
    <row r="39" spans="1:78" x14ac:dyDescent="0.2">
      <c r="A39" s="377"/>
      <c r="B39" s="377"/>
      <c r="C39" s="377"/>
      <c r="D39" s="465"/>
      <c r="E39" s="239"/>
      <c r="F39" s="417"/>
      <c r="G39" s="377"/>
      <c r="H39" s="83"/>
      <c r="I39" s="83"/>
      <c r="J39" s="83"/>
      <c r="K39" s="472"/>
      <c r="L39" s="83"/>
      <c r="M39" s="83"/>
      <c r="N39" s="83"/>
      <c r="O39" s="83"/>
      <c r="P39" s="472"/>
      <c r="Q39" s="83"/>
      <c r="R39" s="83"/>
      <c r="S39" s="83"/>
      <c r="T39" s="83"/>
      <c r="U39" s="472"/>
      <c r="V39" s="83"/>
      <c r="W39" s="83"/>
      <c r="X39" s="83"/>
      <c r="Y39" s="83"/>
      <c r="Z39" s="472"/>
      <c r="AA39" s="83"/>
      <c r="AB39" s="83"/>
      <c r="AC39" s="83"/>
      <c r="AD39" s="83"/>
      <c r="AE39" s="472"/>
      <c r="AF39" s="83"/>
      <c r="AG39" s="83"/>
      <c r="AH39" s="83"/>
      <c r="AI39" s="83"/>
      <c r="AJ39" s="472"/>
      <c r="AK39" s="83"/>
      <c r="AL39" s="83"/>
      <c r="AM39" s="83"/>
      <c r="AN39" s="83"/>
      <c r="AO39" s="472"/>
      <c r="AP39" s="83"/>
      <c r="AQ39" s="83"/>
      <c r="AR39" s="83"/>
      <c r="AS39" s="83"/>
      <c r="AT39" s="472"/>
      <c r="AU39" s="83"/>
      <c r="AV39" s="83"/>
      <c r="AW39" s="83"/>
      <c r="AX39" s="83"/>
      <c r="AY39" s="472"/>
      <c r="AZ39" s="83"/>
      <c r="BA39" s="83"/>
      <c r="BB39" s="83"/>
      <c r="BC39" s="83"/>
      <c r="BD39" s="472"/>
      <c r="BE39" s="83"/>
      <c r="BF39" s="83"/>
      <c r="BG39" s="83"/>
      <c r="BH39" s="83"/>
      <c r="BI39" s="472"/>
      <c r="BJ39" s="83"/>
      <c r="BK39" s="83"/>
      <c r="BL39" s="83"/>
      <c r="BM39" s="83"/>
      <c r="BN39" s="472"/>
      <c r="BO39" s="83"/>
      <c r="BP39" s="83"/>
      <c r="BQ39" s="83"/>
      <c r="BR39" s="83"/>
      <c r="BS39" s="472"/>
      <c r="BT39" s="83"/>
      <c r="BU39" s="83"/>
      <c r="BV39" s="83"/>
      <c r="BW39" s="83"/>
      <c r="BX39" s="474"/>
      <c r="BY39" s="377"/>
      <c r="BZ39" s="410"/>
    </row>
    <row r="40" spans="1:78" s="410" customFormat="1" x14ac:dyDescent="0.2">
      <c r="A40" s="411"/>
      <c r="B40" s="411"/>
      <c r="C40" s="411"/>
      <c r="D40" s="498" t="s">
        <v>540</v>
      </c>
      <c r="E40" s="499" t="s">
        <v>86</v>
      </c>
      <c r="F40" s="500"/>
      <c r="G40" s="501"/>
      <c r="H40" s="502">
        <f>+H12+H38+H32+H27+H23</f>
        <v>43058433.447741508</v>
      </c>
      <c r="I40" s="502"/>
      <c r="J40" s="502"/>
      <c r="K40" s="503"/>
      <c r="L40" s="502"/>
      <c r="M40" s="502">
        <f>+M12+M38+M32+M27+M23</f>
        <v>-18499278.953769997</v>
      </c>
      <c r="N40" s="502"/>
      <c r="O40" s="502"/>
      <c r="P40" s="503"/>
      <c r="Q40" s="502"/>
      <c r="R40" s="502">
        <f>+R12+R38+R32+R27+R23</f>
        <v>537410.36356998235</v>
      </c>
      <c r="S40" s="502"/>
      <c r="T40" s="502"/>
      <c r="U40" s="503"/>
      <c r="V40" s="502"/>
      <c r="W40" s="502">
        <f>+W12+W38+W32+W27+W23</f>
        <v>-23974845.376640022</v>
      </c>
      <c r="X40" s="502"/>
      <c r="Y40" s="502"/>
      <c r="Z40" s="503"/>
      <c r="AA40" s="502"/>
      <c r="AB40" s="502">
        <f>+AB12+AB38+AB32+AB27+AB23</f>
        <v>-39272434.960170001</v>
      </c>
      <c r="AC40" s="502"/>
      <c r="AD40" s="502"/>
      <c r="AE40" s="503"/>
      <c r="AF40" s="502"/>
      <c r="AG40" s="502">
        <f>+AG12+AG38+AG32+AG27+AG23</f>
        <v>32418642.456500009</v>
      </c>
      <c r="AH40" s="502"/>
      <c r="AI40" s="502"/>
      <c r="AJ40" s="503"/>
      <c r="AK40" s="502"/>
      <c r="AL40" s="502">
        <f>+AL12+AL38+AL32+AL27+AL23</f>
        <v>-8875713.0291699618</v>
      </c>
      <c r="AM40" s="502"/>
      <c r="AN40" s="502"/>
      <c r="AO40" s="503"/>
      <c r="AP40" s="502"/>
      <c r="AQ40" s="502">
        <f>+AQ12+AQ38+AQ32+AQ27+AQ23</f>
        <v>298709835</v>
      </c>
      <c r="AR40" s="502"/>
      <c r="AS40" s="502"/>
      <c r="AT40" s="503"/>
      <c r="AU40" s="502"/>
      <c r="AV40" s="502">
        <f>+AV12+AV38+AV32+AV27+AV23</f>
        <v>0</v>
      </c>
      <c r="AW40" s="502"/>
      <c r="AX40" s="502"/>
      <c r="AY40" s="503"/>
      <c r="AZ40" s="502"/>
      <c r="BA40" s="502">
        <f>+BA12+BA38+BA32+BA27+BA23</f>
        <v>0</v>
      </c>
      <c r="BB40" s="502"/>
      <c r="BC40" s="502"/>
      <c r="BD40" s="503"/>
      <c r="BE40" s="502"/>
      <c r="BF40" s="502">
        <f>+BF12+BF23+BF25+BF27+BF32+BF38</f>
        <v>0</v>
      </c>
      <c r="BG40" s="502"/>
      <c r="BH40" s="502"/>
      <c r="BI40" s="503"/>
      <c r="BJ40" s="502"/>
      <c r="BK40" s="502">
        <f>+BK12+BK38+BK32+BK27+BK23</f>
        <v>0</v>
      </c>
      <c r="BL40" s="502"/>
      <c r="BM40" s="502"/>
      <c r="BN40" s="503"/>
      <c r="BO40" s="502"/>
      <c r="BP40" s="502">
        <f>+BP12+BP38+BP32+BP27+BP23</f>
        <v>0</v>
      </c>
      <c r="BQ40" s="502"/>
      <c r="BR40" s="502"/>
      <c r="BS40" s="503"/>
      <c r="BT40" s="502"/>
      <c r="BU40" s="502">
        <f>+BU12+BU23+BU25+BU27+BU32+BU38</f>
        <v>-57666219.499679998</v>
      </c>
      <c r="BV40" s="502"/>
      <c r="BW40" s="502"/>
      <c r="BX40" s="468"/>
      <c r="BY40" s="411"/>
    </row>
    <row r="41" spans="1:78" x14ac:dyDescent="0.2">
      <c r="A41" s="377"/>
      <c r="B41" s="377"/>
      <c r="C41" s="377"/>
      <c r="D41" s="732" t="s">
        <v>40</v>
      </c>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504"/>
      <c r="BW41" s="504"/>
      <c r="BX41" s="377"/>
    </row>
    <row r="42" spans="1:78" hidden="1" x14ac:dyDescent="0.2">
      <c r="A42" s="377"/>
      <c r="B42" s="377"/>
      <c r="C42" s="377"/>
      <c r="D42" s="505" t="s">
        <v>541</v>
      </c>
      <c r="E42" s="190"/>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c r="BW42" s="377"/>
      <c r="BX42" s="377"/>
    </row>
    <row r="43" spans="1:78" hidden="1" x14ac:dyDescent="0.2">
      <c r="A43" s="377"/>
      <c r="B43" s="377"/>
      <c r="C43" s="377"/>
      <c r="D43" s="505" t="s">
        <v>542</v>
      </c>
      <c r="E43" s="190"/>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c r="BW43" s="377"/>
      <c r="BX43" s="377"/>
    </row>
    <row r="44" spans="1:78" hidden="1" x14ac:dyDescent="0.2">
      <c r="A44" s="377"/>
      <c r="B44" s="377"/>
      <c r="C44" s="377"/>
      <c r="D44" s="505" t="s">
        <v>543</v>
      </c>
      <c r="E44" s="190"/>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c r="BW44" s="377"/>
      <c r="BX44" s="377"/>
    </row>
    <row r="45" spans="1:78" hidden="1" x14ac:dyDescent="0.2">
      <c r="A45" s="377"/>
      <c r="B45" s="377"/>
      <c r="C45" s="377"/>
      <c r="D45" s="505" t="s">
        <v>544</v>
      </c>
      <c r="E45" s="190"/>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377"/>
      <c r="BJ45" s="377"/>
      <c r="BK45" s="377"/>
      <c r="BL45" s="377"/>
      <c r="BM45" s="377"/>
      <c r="BN45" s="377"/>
      <c r="BO45" s="377"/>
      <c r="BP45" s="377"/>
      <c r="BQ45" s="377"/>
      <c r="BR45" s="377"/>
      <c r="BS45" s="377"/>
      <c r="BT45" s="377"/>
      <c r="BU45" s="377"/>
      <c r="BV45" s="377"/>
      <c r="BW45" s="377"/>
      <c r="BX45" s="377"/>
    </row>
    <row r="46" spans="1:78" x14ac:dyDescent="0.2">
      <c r="D46" s="505" t="s">
        <v>545</v>
      </c>
    </row>
    <row r="47" spans="1:78" x14ac:dyDescent="0.2">
      <c r="D47" s="505" t="s">
        <v>546</v>
      </c>
      <c r="E47" s="506"/>
      <c r="F47" s="505"/>
      <c r="G47" s="505"/>
    </row>
    <row r="48" spans="1:78" x14ac:dyDescent="0.2">
      <c r="E48" s="506"/>
      <c r="F48" s="505"/>
      <c r="G48" s="505"/>
      <c r="M48" s="507"/>
    </row>
    <row r="49" spans="4:73" x14ac:dyDescent="0.2">
      <c r="E49" s="506"/>
      <c r="F49" s="505"/>
      <c r="G49" s="505"/>
    </row>
    <row r="50" spans="4:73" hidden="1" x14ac:dyDescent="0.2"/>
    <row r="51" spans="4:73" hidden="1" x14ac:dyDescent="0.2"/>
    <row r="52" spans="4:73" hidden="1" x14ac:dyDescent="0.2"/>
    <row r="53" spans="4:73" hidden="1" x14ac:dyDescent="0.2">
      <c r="D53" s="508"/>
      <c r="M53" s="38" t="e">
        <f>M12-#REF!</f>
        <v>#REF!</v>
      </c>
      <c r="N53" s="38" t="e">
        <f>N12-#REF!</f>
        <v>#REF!</v>
      </c>
      <c r="O53" s="38" t="e">
        <f>O12-#REF!</f>
        <v>#REF!</v>
      </c>
      <c r="P53" s="38" t="e">
        <f>P12-#REF!</f>
        <v>#REF!</v>
      </c>
      <c r="Q53" s="38" t="e">
        <f>Q12-#REF!</f>
        <v>#REF!</v>
      </c>
      <c r="R53" s="38" t="e">
        <f>R12-#REF!</f>
        <v>#REF!</v>
      </c>
      <c r="S53" s="38" t="e">
        <f>S12-#REF!</f>
        <v>#REF!</v>
      </c>
      <c r="T53" s="38" t="e">
        <f>T12-#REF!</f>
        <v>#REF!</v>
      </c>
      <c r="U53" s="38" t="e">
        <f>U12-#REF!</f>
        <v>#REF!</v>
      </c>
      <c r="V53" s="38" t="e">
        <f>V12-#REF!</f>
        <v>#REF!</v>
      </c>
      <c r="W53" s="38" t="e">
        <f>W12-#REF!</f>
        <v>#REF!</v>
      </c>
      <c r="X53" s="38" t="e">
        <f>X12-#REF!</f>
        <v>#REF!</v>
      </c>
      <c r="Y53" s="38" t="e">
        <f>Y12-#REF!</f>
        <v>#REF!</v>
      </c>
      <c r="Z53" s="38" t="e">
        <f>Z12-#REF!</f>
        <v>#REF!</v>
      </c>
      <c r="AA53" s="38" t="e">
        <f>AA12-#REF!</f>
        <v>#REF!</v>
      </c>
      <c r="AB53" s="38" t="e">
        <f>AB12-#REF!</f>
        <v>#REF!</v>
      </c>
      <c r="AC53" s="38" t="e">
        <f>AC12-#REF!</f>
        <v>#REF!</v>
      </c>
      <c r="AD53" s="38" t="e">
        <f>AD12-#REF!</f>
        <v>#REF!</v>
      </c>
      <c r="AE53" s="38" t="e">
        <f>AE12-#REF!</f>
        <v>#REF!</v>
      </c>
      <c r="AF53" s="38" t="e">
        <f>AF12-#REF!</f>
        <v>#REF!</v>
      </c>
      <c r="AG53" s="38" t="e">
        <f>AG12-#REF!</f>
        <v>#REF!</v>
      </c>
      <c r="AH53" s="38" t="e">
        <f>AH12-#REF!</f>
        <v>#REF!</v>
      </c>
      <c r="AI53" s="38" t="e">
        <f>AI12-#REF!</f>
        <v>#REF!</v>
      </c>
      <c r="AJ53" s="38" t="e">
        <f>AJ12-#REF!</f>
        <v>#REF!</v>
      </c>
      <c r="AK53" s="38" t="e">
        <f>AK12-#REF!</f>
        <v>#REF!</v>
      </c>
      <c r="AL53" s="38" t="e">
        <f>AL12-#REF!</f>
        <v>#REF!</v>
      </c>
      <c r="AM53" s="38" t="e">
        <f>AM12-#REF!</f>
        <v>#REF!</v>
      </c>
      <c r="AN53" s="38" t="e">
        <f>AN12-#REF!</f>
        <v>#REF!</v>
      </c>
      <c r="AO53" s="38" t="e">
        <f>AO12-#REF!</f>
        <v>#REF!</v>
      </c>
      <c r="AP53" s="38" t="e">
        <f>AP12-#REF!</f>
        <v>#REF!</v>
      </c>
      <c r="AQ53" s="38" t="e">
        <f>AQ12-#REF!</f>
        <v>#REF!</v>
      </c>
      <c r="AR53" s="38" t="e">
        <f>AR12-#REF!</f>
        <v>#REF!</v>
      </c>
      <c r="AS53" s="38" t="e">
        <f>AS12-#REF!</f>
        <v>#REF!</v>
      </c>
      <c r="AT53" s="38" t="e">
        <f>AT12-#REF!</f>
        <v>#REF!</v>
      </c>
      <c r="AU53" s="38" t="e">
        <f>AU12-#REF!</f>
        <v>#REF!</v>
      </c>
      <c r="AV53" s="38" t="e">
        <f>AV12-#REF!</f>
        <v>#REF!</v>
      </c>
      <c r="AW53" s="38" t="e">
        <f>AW12-#REF!</f>
        <v>#REF!</v>
      </c>
      <c r="AX53" s="38" t="e">
        <f>AX12-#REF!</f>
        <v>#REF!</v>
      </c>
      <c r="AY53" s="38" t="e">
        <f>AY12-#REF!</f>
        <v>#REF!</v>
      </c>
      <c r="AZ53" s="38" t="e">
        <f>AZ12-#REF!</f>
        <v>#REF!</v>
      </c>
      <c r="BA53" s="38" t="e">
        <f>BA12-#REF!</f>
        <v>#REF!</v>
      </c>
      <c r="BB53" s="38" t="e">
        <f>BB12-#REF!</f>
        <v>#REF!</v>
      </c>
      <c r="BC53" s="38" t="e">
        <f>BC12-#REF!</f>
        <v>#REF!</v>
      </c>
      <c r="BD53" s="38" t="e">
        <f>BD12-#REF!</f>
        <v>#REF!</v>
      </c>
      <c r="BE53" s="38" t="e">
        <f>BE12-#REF!</f>
        <v>#REF!</v>
      </c>
      <c r="BF53" s="38" t="e">
        <f>BF12-#REF!</f>
        <v>#REF!</v>
      </c>
      <c r="BG53" s="38" t="e">
        <f>BG12-#REF!</f>
        <v>#REF!</v>
      </c>
      <c r="BH53" s="38" t="e">
        <f>BH12-#REF!</f>
        <v>#REF!</v>
      </c>
      <c r="BI53" s="38" t="e">
        <f>BI12-#REF!</f>
        <v>#REF!</v>
      </c>
      <c r="BJ53" s="38" t="e">
        <f>BJ12-#REF!</f>
        <v>#REF!</v>
      </c>
      <c r="BK53" s="38" t="e">
        <f>BK12-#REF!</f>
        <v>#REF!</v>
      </c>
      <c r="BL53" s="38" t="e">
        <f>BL12-#REF!</f>
        <v>#REF!</v>
      </c>
      <c r="BM53" s="38" t="e">
        <f>BM12-#REF!</f>
        <v>#REF!</v>
      </c>
      <c r="BN53" s="38" t="e">
        <f>BN12-#REF!</f>
        <v>#REF!</v>
      </c>
      <c r="BO53" s="38" t="e">
        <f>BO12-#REF!</f>
        <v>#REF!</v>
      </c>
      <c r="BP53" s="38" t="e">
        <f>BP12-#REF!</f>
        <v>#REF!</v>
      </c>
      <c r="BQ53" s="38" t="e">
        <f>BQ12-#REF!</f>
        <v>#REF!</v>
      </c>
      <c r="BR53" s="38" t="e">
        <f>BR12-#REF!</f>
        <v>#REF!</v>
      </c>
      <c r="BS53" s="38" t="e">
        <f>BS12-#REF!</f>
        <v>#REF!</v>
      </c>
      <c r="BT53" s="38" t="e">
        <f>BT12-#REF!</f>
        <v>#REF!</v>
      </c>
      <c r="BU53" s="38" t="e">
        <f>BU12-#REF!</f>
        <v>#REF!</v>
      </c>
    </row>
    <row r="54" spans="4:73" hidden="1" x14ac:dyDescent="0.2">
      <c r="M54" s="38" t="e">
        <f>M13-#REF!</f>
        <v>#REF!</v>
      </c>
      <c r="N54" s="38" t="e">
        <f>N13-#REF!</f>
        <v>#REF!</v>
      </c>
      <c r="O54" s="38" t="e">
        <f>O13-#REF!</f>
        <v>#REF!</v>
      </c>
      <c r="P54" s="38" t="e">
        <f>P13-#REF!</f>
        <v>#REF!</v>
      </c>
      <c r="Q54" s="38" t="e">
        <f>Q13-#REF!</f>
        <v>#REF!</v>
      </c>
      <c r="R54" s="38" t="e">
        <f>R13-#REF!</f>
        <v>#REF!</v>
      </c>
      <c r="S54" s="38" t="e">
        <f>S13-#REF!</f>
        <v>#REF!</v>
      </c>
      <c r="T54" s="38" t="e">
        <f>T13-#REF!</f>
        <v>#REF!</v>
      </c>
      <c r="U54" s="38" t="e">
        <f>U13-#REF!</f>
        <v>#REF!</v>
      </c>
      <c r="V54" s="38" t="e">
        <f>V13-#REF!</f>
        <v>#REF!</v>
      </c>
      <c r="W54" s="38" t="e">
        <f>W13-#REF!</f>
        <v>#REF!</v>
      </c>
      <c r="X54" s="38" t="e">
        <f>X13-#REF!</f>
        <v>#REF!</v>
      </c>
      <c r="Y54" s="38" t="e">
        <f>Y13-#REF!</f>
        <v>#REF!</v>
      </c>
      <c r="Z54" s="38" t="e">
        <f>Z13-#REF!</f>
        <v>#REF!</v>
      </c>
      <c r="AA54" s="38" t="e">
        <f>AA13-#REF!</f>
        <v>#REF!</v>
      </c>
      <c r="AB54" s="38" t="e">
        <f>AB13-#REF!</f>
        <v>#REF!</v>
      </c>
      <c r="AC54" s="38" t="e">
        <f>AC13-#REF!</f>
        <v>#REF!</v>
      </c>
      <c r="AD54" s="38" t="e">
        <f>AD13-#REF!</f>
        <v>#REF!</v>
      </c>
      <c r="AE54" s="38" t="e">
        <f>AE13-#REF!</f>
        <v>#REF!</v>
      </c>
      <c r="AF54" s="38" t="e">
        <f>AF13-#REF!</f>
        <v>#REF!</v>
      </c>
      <c r="AG54" s="38" t="e">
        <f>AG13-#REF!</f>
        <v>#REF!</v>
      </c>
      <c r="AH54" s="38" t="e">
        <f>AH13-#REF!</f>
        <v>#REF!</v>
      </c>
      <c r="AI54" s="38" t="e">
        <f>AI13-#REF!</f>
        <v>#REF!</v>
      </c>
      <c r="AJ54" s="38" t="e">
        <f>AJ13-#REF!</f>
        <v>#REF!</v>
      </c>
      <c r="AK54" s="38" t="e">
        <f>AK13-#REF!</f>
        <v>#REF!</v>
      </c>
      <c r="AL54" s="38" t="e">
        <f>AL13-#REF!</f>
        <v>#REF!</v>
      </c>
      <c r="AM54" s="38" t="e">
        <f>AM13-#REF!</f>
        <v>#REF!</v>
      </c>
      <c r="AN54" s="38" t="e">
        <f>AN13-#REF!</f>
        <v>#REF!</v>
      </c>
      <c r="AO54" s="38" t="e">
        <f>AO13-#REF!</f>
        <v>#REF!</v>
      </c>
      <c r="AP54" s="38" t="e">
        <f>AP13-#REF!</f>
        <v>#REF!</v>
      </c>
      <c r="AQ54" s="38" t="e">
        <f>AQ13-#REF!</f>
        <v>#REF!</v>
      </c>
      <c r="AR54" s="38" t="e">
        <f>AR13-#REF!</f>
        <v>#REF!</v>
      </c>
      <c r="AS54" s="38" t="e">
        <f>AS13-#REF!</f>
        <v>#REF!</v>
      </c>
      <c r="AT54" s="38" t="e">
        <f>AT13-#REF!</f>
        <v>#REF!</v>
      </c>
      <c r="AU54" s="38" t="e">
        <f>AU13-#REF!</f>
        <v>#REF!</v>
      </c>
      <c r="AV54" s="38" t="e">
        <f>AV13-#REF!</f>
        <v>#REF!</v>
      </c>
      <c r="AW54" s="38" t="e">
        <f>AW13-#REF!</f>
        <v>#REF!</v>
      </c>
      <c r="AX54" s="38" t="e">
        <f>AX13-#REF!</f>
        <v>#REF!</v>
      </c>
      <c r="AY54" s="38" t="e">
        <f>AY13-#REF!</f>
        <v>#REF!</v>
      </c>
      <c r="AZ54" s="38" t="e">
        <f>AZ13-#REF!</f>
        <v>#REF!</v>
      </c>
      <c r="BA54" s="38" t="e">
        <f>BA13-#REF!</f>
        <v>#REF!</v>
      </c>
      <c r="BB54" s="38" t="e">
        <f>BB13-#REF!</f>
        <v>#REF!</v>
      </c>
      <c r="BC54" s="38" t="e">
        <f>BC13-#REF!</f>
        <v>#REF!</v>
      </c>
      <c r="BD54" s="38" t="e">
        <f>BD13-#REF!</f>
        <v>#REF!</v>
      </c>
      <c r="BE54" s="38" t="e">
        <f>BE13-#REF!</f>
        <v>#REF!</v>
      </c>
      <c r="BF54" s="38" t="e">
        <f>BF13-#REF!</f>
        <v>#REF!</v>
      </c>
      <c r="BG54" s="38" t="e">
        <f>BG13-#REF!</f>
        <v>#REF!</v>
      </c>
      <c r="BH54" s="38" t="e">
        <f>BH13-#REF!</f>
        <v>#REF!</v>
      </c>
      <c r="BI54" s="38" t="e">
        <f>BI13-#REF!</f>
        <v>#REF!</v>
      </c>
      <c r="BJ54" s="38" t="e">
        <f>BJ13-#REF!</f>
        <v>#REF!</v>
      </c>
      <c r="BK54" s="38" t="e">
        <f>BK13-#REF!</f>
        <v>#REF!</v>
      </c>
      <c r="BL54" s="38" t="e">
        <f>BL13-#REF!</f>
        <v>#REF!</v>
      </c>
      <c r="BM54" s="38" t="e">
        <f>BM13-#REF!</f>
        <v>#REF!</v>
      </c>
      <c r="BN54" s="38" t="e">
        <f>BN13-#REF!</f>
        <v>#REF!</v>
      </c>
      <c r="BO54" s="38" t="e">
        <f>BO13-#REF!</f>
        <v>#REF!</v>
      </c>
      <c r="BP54" s="38" t="e">
        <f>BP13-#REF!</f>
        <v>#REF!</v>
      </c>
      <c r="BQ54" s="38" t="e">
        <f>BQ13-#REF!</f>
        <v>#REF!</v>
      </c>
      <c r="BR54" s="38" t="e">
        <f>BR13-#REF!</f>
        <v>#REF!</v>
      </c>
      <c r="BS54" s="38" t="e">
        <f>BS13-#REF!</f>
        <v>#REF!</v>
      </c>
      <c r="BT54" s="38" t="e">
        <f>BT13-#REF!</f>
        <v>#REF!</v>
      </c>
      <c r="BU54" s="38" t="e">
        <f>BU13-#REF!</f>
        <v>#REF!</v>
      </c>
    </row>
    <row r="55" spans="4:73" hidden="1" x14ac:dyDescent="0.2">
      <c r="D55" s="509"/>
      <c r="M55" s="38" t="e">
        <f>M14-#REF!</f>
        <v>#REF!</v>
      </c>
      <c r="N55" s="38" t="e">
        <f>N14-#REF!</f>
        <v>#REF!</v>
      </c>
      <c r="O55" s="38" t="e">
        <f>O14-#REF!</f>
        <v>#REF!</v>
      </c>
      <c r="P55" s="38" t="e">
        <f>P14-#REF!</f>
        <v>#REF!</v>
      </c>
      <c r="Q55" s="38" t="e">
        <f>Q14-#REF!</f>
        <v>#REF!</v>
      </c>
      <c r="R55" s="38" t="e">
        <f>R14-#REF!</f>
        <v>#REF!</v>
      </c>
      <c r="S55" s="38" t="e">
        <f>S14-#REF!</f>
        <v>#REF!</v>
      </c>
      <c r="T55" s="38" t="e">
        <f>T14-#REF!</f>
        <v>#REF!</v>
      </c>
      <c r="U55" s="38" t="e">
        <f>U14-#REF!</f>
        <v>#REF!</v>
      </c>
      <c r="V55" s="38" t="e">
        <f>V14-#REF!</f>
        <v>#REF!</v>
      </c>
      <c r="W55" s="38" t="e">
        <f>W14-#REF!</f>
        <v>#REF!</v>
      </c>
      <c r="X55" s="38" t="e">
        <f>X14-#REF!</f>
        <v>#REF!</v>
      </c>
      <c r="Y55" s="38" t="e">
        <f>Y14-#REF!</f>
        <v>#REF!</v>
      </c>
      <c r="Z55" s="38" t="e">
        <f>Z14-#REF!</f>
        <v>#REF!</v>
      </c>
      <c r="AA55" s="38" t="e">
        <f>AA14-#REF!</f>
        <v>#REF!</v>
      </c>
      <c r="AB55" s="38" t="e">
        <f>AB14-#REF!</f>
        <v>#REF!</v>
      </c>
      <c r="AC55" s="38" t="e">
        <f>AC14-#REF!</f>
        <v>#REF!</v>
      </c>
      <c r="AD55" s="38" t="e">
        <f>AD14-#REF!</f>
        <v>#REF!</v>
      </c>
      <c r="AE55" s="38" t="e">
        <f>AE14-#REF!</f>
        <v>#REF!</v>
      </c>
      <c r="AF55" s="38" t="e">
        <f>AF14-#REF!</f>
        <v>#REF!</v>
      </c>
      <c r="AG55" s="38" t="e">
        <f>AG14-#REF!</f>
        <v>#REF!</v>
      </c>
      <c r="AH55" s="38" t="e">
        <f>AH14-#REF!</f>
        <v>#REF!</v>
      </c>
      <c r="AI55" s="38" t="e">
        <f>AI14-#REF!</f>
        <v>#REF!</v>
      </c>
      <c r="AJ55" s="38" t="e">
        <f>AJ14-#REF!</f>
        <v>#REF!</v>
      </c>
      <c r="AK55" s="38" t="e">
        <f>AK14-#REF!</f>
        <v>#REF!</v>
      </c>
      <c r="AL55" s="38" t="e">
        <f>AL14-#REF!</f>
        <v>#REF!</v>
      </c>
      <c r="AM55" s="38" t="e">
        <f>AM14-#REF!</f>
        <v>#REF!</v>
      </c>
      <c r="AN55" s="38" t="e">
        <f>AN14-#REF!</f>
        <v>#REF!</v>
      </c>
      <c r="AO55" s="38" t="e">
        <f>AO14-#REF!</f>
        <v>#REF!</v>
      </c>
      <c r="AP55" s="38" t="e">
        <f>AP14-#REF!</f>
        <v>#REF!</v>
      </c>
      <c r="AQ55" s="38" t="e">
        <f>AQ14-#REF!</f>
        <v>#REF!</v>
      </c>
      <c r="AR55" s="38" t="e">
        <f>AR14-#REF!</f>
        <v>#REF!</v>
      </c>
      <c r="AS55" s="38" t="e">
        <f>AS14-#REF!</f>
        <v>#REF!</v>
      </c>
      <c r="AT55" s="38" t="e">
        <f>AT14-#REF!</f>
        <v>#REF!</v>
      </c>
      <c r="AU55" s="38" t="e">
        <f>AU14-#REF!</f>
        <v>#REF!</v>
      </c>
      <c r="AV55" s="38" t="e">
        <f>AV14-#REF!</f>
        <v>#REF!</v>
      </c>
      <c r="AW55" s="38" t="e">
        <f>AW14-#REF!</f>
        <v>#REF!</v>
      </c>
      <c r="AX55" s="38" t="e">
        <f>AX14-#REF!</f>
        <v>#REF!</v>
      </c>
      <c r="AY55" s="38" t="e">
        <f>AY14-#REF!</f>
        <v>#REF!</v>
      </c>
      <c r="AZ55" s="38" t="e">
        <f>AZ14-#REF!</f>
        <v>#REF!</v>
      </c>
      <c r="BA55" s="38" t="e">
        <f>BA14-#REF!</f>
        <v>#REF!</v>
      </c>
      <c r="BB55" s="38" t="e">
        <f>BB14-#REF!</f>
        <v>#REF!</v>
      </c>
      <c r="BC55" s="38" t="e">
        <f>BC14-#REF!</f>
        <v>#REF!</v>
      </c>
      <c r="BD55" s="38" t="e">
        <f>BD14-#REF!</f>
        <v>#REF!</v>
      </c>
      <c r="BE55" s="38" t="e">
        <f>BE14-#REF!</f>
        <v>#REF!</v>
      </c>
      <c r="BF55" s="38" t="e">
        <f>BF14-#REF!</f>
        <v>#REF!</v>
      </c>
      <c r="BG55" s="38" t="e">
        <f>BG14-#REF!</f>
        <v>#REF!</v>
      </c>
      <c r="BH55" s="38" t="e">
        <f>BH14-#REF!</f>
        <v>#REF!</v>
      </c>
      <c r="BI55" s="38" t="e">
        <f>BI14-#REF!</f>
        <v>#REF!</v>
      </c>
      <c r="BJ55" s="38" t="e">
        <f>BJ14-#REF!</f>
        <v>#REF!</v>
      </c>
      <c r="BK55" s="38" t="e">
        <f>BK14-#REF!</f>
        <v>#REF!</v>
      </c>
      <c r="BL55" s="38" t="e">
        <f>BL14-#REF!</f>
        <v>#REF!</v>
      </c>
      <c r="BM55" s="38" t="e">
        <f>BM14-#REF!</f>
        <v>#REF!</v>
      </c>
      <c r="BN55" s="38" t="e">
        <f>BN14-#REF!</f>
        <v>#REF!</v>
      </c>
      <c r="BO55" s="38" t="e">
        <f>BO14-#REF!</f>
        <v>#REF!</v>
      </c>
      <c r="BP55" s="38" t="e">
        <f>BP14-#REF!</f>
        <v>#REF!</v>
      </c>
      <c r="BQ55" s="38" t="e">
        <f>BQ14-#REF!</f>
        <v>#REF!</v>
      </c>
      <c r="BR55" s="38" t="e">
        <f>BR14-#REF!</f>
        <v>#REF!</v>
      </c>
      <c r="BS55" s="38" t="e">
        <f>BS14-#REF!</f>
        <v>#REF!</v>
      </c>
      <c r="BT55" s="38" t="e">
        <f>BT14-#REF!</f>
        <v>#REF!</v>
      </c>
      <c r="BU55" s="38" t="e">
        <f>BU14-#REF!</f>
        <v>#REF!</v>
      </c>
    </row>
    <row r="56" spans="4:73" hidden="1" x14ac:dyDescent="0.2">
      <c r="D56" s="510"/>
      <c r="M56" s="38" t="e">
        <f>M15-#REF!</f>
        <v>#REF!</v>
      </c>
      <c r="N56" s="38" t="e">
        <f>N15-#REF!</f>
        <v>#REF!</v>
      </c>
      <c r="O56" s="38" t="e">
        <f>O15-#REF!</f>
        <v>#REF!</v>
      </c>
      <c r="P56" s="38" t="e">
        <f>P15-#REF!</f>
        <v>#REF!</v>
      </c>
      <c r="Q56" s="38" t="e">
        <f>Q15-#REF!</f>
        <v>#REF!</v>
      </c>
      <c r="R56" s="38" t="e">
        <f>R15-#REF!</f>
        <v>#REF!</v>
      </c>
      <c r="S56" s="38" t="e">
        <f>S15-#REF!</f>
        <v>#REF!</v>
      </c>
      <c r="T56" s="38" t="e">
        <f>T15-#REF!</f>
        <v>#REF!</v>
      </c>
      <c r="U56" s="38" t="e">
        <f>U15-#REF!</f>
        <v>#REF!</v>
      </c>
      <c r="V56" s="38" t="e">
        <f>V15-#REF!</f>
        <v>#REF!</v>
      </c>
      <c r="W56" s="38" t="e">
        <f>W15-#REF!</f>
        <v>#REF!</v>
      </c>
      <c r="X56" s="38" t="e">
        <f>X15-#REF!</f>
        <v>#REF!</v>
      </c>
      <c r="Y56" s="38" t="e">
        <f>Y15-#REF!</f>
        <v>#REF!</v>
      </c>
      <c r="Z56" s="38" t="e">
        <f>Z15-#REF!</f>
        <v>#REF!</v>
      </c>
      <c r="AA56" s="38" t="e">
        <f>AA15-#REF!</f>
        <v>#REF!</v>
      </c>
      <c r="AB56" s="38" t="e">
        <f>AB15-#REF!</f>
        <v>#REF!</v>
      </c>
      <c r="AC56" s="38" t="e">
        <f>AC15-#REF!</f>
        <v>#REF!</v>
      </c>
      <c r="AD56" s="38" t="e">
        <f>AD15-#REF!</f>
        <v>#REF!</v>
      </c>
      <c r="AE56" s="38" t="e">
        <f>AE15-#REF!</f>
        <v>#REF!</v>
      </c>
      <c r="AF56" s="38" t="e">
        <f>AF15-#REF!</f>
        <v>#REF!</v>
      </c>
      <c r="AG56" s="38" t="e">
        <f>AG15-#REF!</f>
        <v>#REF!</v>
      </c>
      <c r="AH56" s="38" t="e">
        <f>AH15-#REF!</f>
        <v>#REF!</v>
      </c>
      <c r="AI56" s="38" t="e">
        <f>AI15-#REF!</f>
        <v>#REF!</v>
      </c>
      <c r="AJ56" s="38" t="e">
        <f>AJ15-#REF!</f>
        <v>#REF!</v>
      </c>
      <c r="AK56" s="38" t="e">
        <f>AK15-#REF!</f>
        <v>#REF!</v>
      </c>
      <c r="AL56" s="38" t="e">
        <f>AL15-#REF!</f>
        <v>#REF!</v>
      </c>
      <c r="AM56" s="38" t="e">
        <f>AM15-#REF!</f>
        <v>#REF!</v>
      </c>
      <c r="AN56" s="38" t="e">
        <f>AN15-#REF!</f>
        <v>#REF!</v>
      </c>
      <c r="AO56" s="38" t="e">
        <f>AO15-#REF!</f>
        <v>#REF!</v>
      </c>
      <c r="AP56" s="38" t="e">
        <f>AP15-#REF!</f>
        <v>#REF!</v>
      </c>
      <c r="AQ56" s="38" t="e">
        <f>AQ15-#REF!</f>
        <v>#REF!</v>
      </c>
      <c r="AR56" s="38" t="e">
        <f>AR15-#REF!</f>
        <v>#REF!</v>
      </c>
      <c r="AS56" s="38" t="e">
        <f>AS15-#REF!</f>
        <v>#REF!</v>
      </c>
      <c r="AT56" s="38" t="e">
        <f>AT15-#REF!</f>
        <v>#REF!</v>
      </c>
      <c r="AU56" s="38" t="e">
        <f>AU15-#REF!</f>
        <v>#REF!</v>
      </c>
      <c r="AV56" s="38" t="e">
        <f>AV15-#REF!</f>
        <v>#REF!</v>
      </c>
      <c r="AW56" s="38" t="e">
        <f>AW15-#REF!</f>
        <v>#REF!</v>
      </c>
      <c r="AX56" s="38" t="e">
        <f>AX15-#REF!</f>
        <v>#REF!</v>
      </c>
      <c r="AY56" s="38" t="e">
        <f>AY15-#REF!</f>
        <v>#REF!</v>
      </c>
      <c r="AZ56" s="38" t="e">
        <f>AZ15-#REF!</f>
        <v>#REF!</v>
      </c>
      <c r="BA56" s="38" t="e">
        <f>BA15-#REF!</f>
        <v>#REF!</v>
      </c>
      <c r="BB56" s="38" t="e">
        <f>BB15-#REF!</f>
        <v>#REF!</v>
      </c>
      <c r="BC56" s="38" t="e">
        <f>BC15-#REF!</f>
        <v>#REF!</v>
      </c>
      <c r="BD56" s="38" t="e">
        <f>BD15-#REF!</f>
        <v>#REF!</v>
      </c>
      <c r="BE56" s="38" t="e">
        <f>BE15-#REF!</f>
        <v>#REF!</v>
      </c>
      <c r="BF56" s="38" t="e">
        <f>BF15-#REF!</f>
        <v>#REF!</v>
      </c>
      <c r="BG56" s="38" t="e">
        <f>BG15-#REF!</f>
        <v>#REF!</v>
      </c>
      <c r="BH56" s="38" t="e">
        <f>BH15-#REF!</f>
        <v>#REF!</v>
      </c>
      <c r="BI56" s="38" t="e">
        <f>BI15-#REF!</f>
        <v>#REF!</v>
      </c>
      <c r="BJ56" s="38" t="e">
        <f>BJ15-#REF!</f>
        <v>#REF!</v>
      </c>
      <c r="BK56" s="38" t="e">
        <f>BK15-#REF!</f>
        <v>#REF!</v>
      </c>
      <c r="BL56" s="38" t="e">
        <f>BL15-#REF!</f>
        <v>#REF!</v>
      </c>
      <c r="BM56" s="38" t="e">
        <f>BM15-#REF!</f>
        <v>#REF!</v>
      </c>
      <c r="BN56" s="38" t="e">
        <f>BN15-#REF!</f>
        <v>#REF!</v>
      </c>
      <c r="BO56" s="38" t="e">
        <f>BO15-#REF!</f>
        <v>#REF!</v>
      </c>
      <c r="BP56" s="38" t="e">
        <f>BP15-#REF!</f>
        <v>#REF!</v>
      </c>
      <c r="BQ56" s="38" t="e">
        <f>BQ15-#REF!</f>
        <v>#REF!</v>
      </c>
      <c r="BR56" s="38" t="e">
        <f>BR15-#REF!</f>
        <v>#REF!</v>
      </c>
      <c r="BS56" s="38" t="e">
        <f>BS15-#REF!</f>
        <v>#REF!</v>
      </c>
      <c r="BT56" s="38" t="e">
        <f>BT15-#REF!</f>
        <v>#REF!</v>
      </c>
      <c r="BU56" s="38" t="e">
        <f>BU15-#REF!</f>
        <v>#REF!</v>
      </c>
    </row>
    <row r="57" spans="4:73" hidden="1" x14ac:dyDescent="0.2">
      <c r="D57" s="511"/>
      <c r="M57" s="38" t="e">
        <f>M16-#REF!</f>
        <v>#REF!</v>
      </c>
      <c r="N57" s="38" t="e">
        <f>N16-#REF!</f>
        <v>#REF!</v>
      </c>
      <c r="O57" s="38" t="e">
        <f>O16-#REF!</f>
        <v>#REF!</v>
      </c>
      <c r="P57" s="38" t="e">
        <f>P16-#REF!</f>
        <v>#REF!</v>
      </c>
      <c r="Q57" s="38" t="e">
        <f>Q16-#REF!</f>
        <v>#REF!</v>
      </c>
      <c r="R57" s="38" t="e">
        <f>R16-#REF!</f>
        <v>#REF!</v>
      </c>
      <c r="S57" s="38" t="e">
        <f>S16-#REF!</f>
        <v>#REF!</v>
      </c>
      <c r="T57" s="38" t="e">
        <f>T16-#REF!</f>
        <v>#REF!</v>
      </c>
      <c r="U57" s="38" t="e">
        <f>U16-#REF!</f>
        <v>#REF!</v>
      </c>
      <c r="V57" s="38" t="e">
        <f>V16-#REF!</f>
        <v>#REF!</v>
      </c>
      <c r="W57" s="38" t="e">
        <f>W16-#REF!</f>
        <v>#REF!</v>
      </c>
      <c r="X57" s="38" t="e">
        <f>X16-#REF!</f>
        <v>#REF!</v>
      </c>
      <c r="Y57" s="38" t="e">
        <f>Y16-#REF!</f>
        <v>#REF!</v>
      </c>
      <c r="Z57" s="38" t="e">
        <f>Z16-#REF!</f>
        <v>#REF!</v>
      </c>
      <c r="AA57" s="38" t="e">
        <f>AA16-#REF!</f>
        <v>#REF!</v>
      </c>
      <c r="AB57" s="38" t="e">
        <f>AB16-#REF!</f>
        <v>#REF!</v>
      </c>
      <c r="AC57" s="38" t="e">
        <f>AC16-#REF!</f>
        <v>#REF!</v>
      </c>
      <c r="AD57" s="38" t="e">
        <f>AD16-#REF!</f>
        <v>#REF!</v>
      </c>
      <c r="AE57" s="38" t="e">
        <f>AE16-#REF!</f>
        <v>#REF!</v>
      </c>
      <c r="AF57" s="38" t="e">
        <f>AF16-#REF!</f>
        <v>#REF!</v>
      </c>
      <c r="AG57" s="38" t="e">
        <f>AG16-#REF!</f>
        <v>#REF!</v>
      </c>
      <c r="AH57" s="38" t="e">
        <f>AH16-#REF!</f>
        <v>#REF!</v>
      </c>
      <c r="AI57" s="38" t="e">
        <f>AI16-#REF!</f>
        <v>#REF!</v>
      </c>
      <c r="AJ57" s="38" t="e">
        <f>AJ16-#REF!</f>
        <v>#REF!</v>
      </c>
      <c r="AK57" s="38" t="e">
        <f>AK16-#REF!</f>
        <v>#REF!</v>
      </c>
      <c r="AL57" s="38" t="e">
        <f>AL16-#REF!</f>
        <v>#REF!</v>
      </c>
      <c r="AM57" s="38" t="e">
        <f>AM16-#REF!</f>
        <v>#REF!</v>
      </c>
      <c r="AN57" s="38" t="e">
        <f>AN16-#REF!</f>
        <v>#REF!</v>
      </c>
      <c r="AO57" s="38" t="e">
        <f>AO16-#REF!</f>
        <v>#REF!</v>
      </c>
      <c r="AP57" s="38" t="e">
        <f>AP16-#REF!</f>
        <v>#REF!</v>
      </c>
      <c r="AQ57" s="38" t="e">
        <f>AQ16-#REF!</f>
        <v>#REF!</v>
      </c>
      <c r="AR57" s="38" t="e">
        <f>AR16-#REF!</f>
        <v>#REF!</v>
      </c>
      <c r="AS57" s="38" t="e">
        <f>AS16-#REF!</f>
        <v>#REF!</v>
      </c>
      <c r="AT57" s="38" t="e">
        <f>AT16-#REF!</f>
        <v>#REF!</v>
      </c>
      <c r="AU57" s="38" t="e">
        <f>AU16-#REF!</f>
        <v>#REF!</v>
      </c>
      <c r="AV57" s="38" t="e">
        <f>AV16-#REF!</f>
        <v>#REF!</v>
      </c>
      <c r="AW57" s="38" t="e">
        <f>AW16-#REF!</f>
        <v>#REF!</v>
      </c>
      <c r="AX57" s="38" t="e">
        <f>AX16-#REF!</f>
        <v>#REF!</v>
      </c>
      <c r="AY57" s="38" t="e">
        <f>AY16-#REF!</f>
        <v>#REF!</v>
      </c>
      <c r="AZ57" s="38" t="e">
        <f>AZ16-#REF!</f>
        <v>#REF!</v>
      </c>
      <c r="BA57" s="38" t="e">
        <f>BA16-#REF!</f>
        <v>#REF!</v>
      </c>
      <c r="BB57" s="38" t="e">
        <f>BB16-#REF!</f>
        <v>#REF!</v>
      </c>
      <c r="BC57" s="38" t="e">
        <f>BC16-#REF!</f>
        <v>#REF!</v>
      </c>
      <c r="BD57" s="38" t="e">
        <f>BD16-#REF!</f>
        <v>#REF!</v>
      </c>
      <c r="BE57" s="38" t="e">
        <f>BE16-#REF!</f>
        <v>#REF!</v>
      </c>
      <c r="BF57" s="38" t="e">
        <f>BF16-#REF!</f>
        <v>#REF!</v>
      </c>
      <c r="BG57" s="38" t="e">
        <f>BG16-#REF!</f>
        <v>#REF!</v>
      </c>
      <c r="BH57" s="38" t="e">
        <f>BH16-#REF!</f>
        <v>#REF!</v>
      </c>
      <c r="BI57" s="38" t="e">
        <f>BI16-#REF!</f>
        <v>#REF!</v>
      </c>
      <c r="BJ57" s="38" t="e">
        <f>BJ16-#REF!</f>
        <v>#REF!</v>
      </c>
      <c r="BK57" s="38" t="e">
        <f>BK16-#REF!</f>
        <v>#REF!</v>
      </c>
      <c r="BL57" s="38" t="e">
        <f>BL16-#REF!</f>
        <v>#REF!</v>
      </c>
      <c r="BM57" s="38" t="e">
        <f>BM16-#REF!</f>
        <v>#REF!</v>
      </c>
      <c r="BN57" s="38" t="e">
        <f>BN16-#REF!</f>
        <v>#REF!</v>
      </c>
      <c r="BO57" s="38" t="e">
        <f>BO16-#REF!</f>
        <v>#REF!</v>
      </c>
      <c r="BP57" s="38" t="e">
        <f>BP16-#REF!</f>
        <v>#REF!</v>
      </c>
      <c r="BQ57" s="38" t="e">
        <f>BQ16-#REF!</f>
        <v>#REF!</v>
      </c>
      <c r="BR57" s="38" t="e">
        <f>BR16-#REF!</f>
        <v>#REF!</v>
      </c>
      <c r="BS57" s="38" t="e">
        <f>BS16-#REF!</f>
        <v>#REF!</v>
      </c>
      <c r="BT57" s="38" t="e">
        <f>BT16-#REF!</f>
        <v>#REF!</v>
      </c>
      <c r="BU57" s="38" t="e">
        <f>BU16-#REF!</f>
        <v>#REF!</v>
      </c>
    </row>
    <row r="58" spans="4:73" hidden="1" x14ac:dyDescent="0.2">
      <c r="M58" s="38" t="e">
        <f>M17-#REF!</f>
        <v>#REF!</v>
      </c>
      <c r="N58" s="38" t="e">
        <f>N17-#REF!</f>
        <v>#REF!</v>
      </c>
      <c r="O58" s="38" t="e">
        <f>O17-#REF!</f>
        <v>#REF!</v>
      </c>
      <c r="P58" s="38" t="e">
        <f>P17-#REF!</f>
        <v>#REF!</v>
      </c>
      <c r="Q58" s="38" t="e">
        <f>Q17-#REF!</f>
        <v>#REF!</v>
      </c>
      <c r="R58" s="38" t="e">
        <f>R17-#REF!</f>
        <v>#REF!</v>
      </c>
      <c r="S58" s="38" t="e">
        <f>S17-#REF!</f>
        <v>#REF!</v>
      </c>
      <c r="T58" s="38" t="e">
        <f>T17-#REF!</f>
        <v>#REF!</v>
      </c>
      <c r="U58" s="38" t="e">
        <f>U17-#REF!</f>
        <v>#REF!</v>
      </c>
      <c r="V58" s="38" t="e">
        <f>V17-#REF!</f>
        <v>#REF!</v>
      </c>
      <c r="W58" s="38" t="e">
        <f>W17-#REF!</f>
        <v>#REF!</v>
      </c>
      <c r="X58" s="38" t="e">
        <f>X17-#REF!</f>
        <v>#REF!</v>
      </c>
      <c r="Y58" s="38" t="e">
        <f>Y17-#REF!</f>
        <v>#REF!</v>
      </c>
      <c r="Z58" s="38" t="e">
        <f>Z17-#REF!</f>
        <v>#REF!</v>
      </c>
      <c r="AA58" s="38" t="e">
        <f>AA17-#REF!</f>
        <v>#REF!</v>
      </c>
      <c r="AB58" s="38" t="e">
        <f>AB17-#REF!</f>
        <v>#REF!</v>
      </c>
      <c r="AC58" s="38" t="e">
        <f>AC17-#REF!</f>
        <v>#REF!</v>
      </c>
      <c r="AD58" s="38" t="e">
        <f>AD17-#REF!</f>
        <v>#REF!</v>
      </c>
      <c r="AE58" s="38" t="e">
        <f>AE17-#REF!</f>
        <v>#REF!</v>
      </c>
      <c r="AF58" s="38" t="e">
        <f>AF17-#REF!</f>
        <v>#REF!</v>
      </c>
      <c r="AG58" s="38" t="e">
        <f>AG17-#REF!</f>
        <v>#REF!</v>
      </c>
      <c r="AH58" s="38" t="e">
        <f>AH17-#REF!</f>
        <v>#REF!</v>
      </c>
      <c r="AI58" s="38" t="e">
        <f>AI17-#REF!</f>
        <v>#REF!</v>
      </c>
      <c r="AJ58" s="38" t="e">
        <f>AJ17-#REF!</f>
        <v>#REF!</v>
      </c>
      <c r="AK58" s="38" t="e">
        <f>AK17-#REF!</f>
        <v>#REF!</v>
      </c>
      <c r="AL58" s="38" t="e">
        <f>AL17-#REF!</f>
        <v>#REF!</v>
      </c>
      <c r="AM58" s="38" t="e">
        <f>AM17-#REF!</f>
        <v>#REF!</v>
      </c>
      <c r="AN58" s="38" t="e">
        <f>AN17-#REF!</f>
        <v>#REF!</v>
      </c>
      <c r="AO58" s="38" t="e">
        <f>AO17-#REF!</f>
        <v>#REF!</v>
      </c>
      <c r="AP58" s="38" t="e">
        <f>AP17-#REF!</f>
        <v>#REF!</v>
      </c>
      <c r="AQ58" s="38" t="e">
        <f>AQ17-#REF!</f>
        <v>#REF!</v>
      </c>
      <c r="AR58" s="38" t="e">
        <f>AR17-#REF!</f>
        <v>#REF!</v>
      </c>
      <c r="AS58" s="38" t="e">
        <f>AS17-#REF!</f>
        <v>#REF!</v>
      </c>
      <c r="AT58" s="38" t="e">
        <f>AT17-#REF!</f>
        <v>#REF!</v>
      </c>
      <c r="AU58" s="38" t="e">
        <f>AU17-#REF!</f>
        <v>#REF!</v>
      </c>
      <c r="AV58" s="38" t="e">
        <f>AV17-#REF!</f>
        <v>#REF!</v>
      </c>
      <c r="AW58" s="38" t="e">
        <f>AW17-#REF!</f>
        <v>#REF!</v>
      </c>
      <c r="AX58" s="38" t="e">
        <f>AX17-#REF!</f>
        <v>#REF!</v>
      </c>
      <c r="AY58" s="38" t="e">
        <f>AY17-#REF!</f>
        <v>#REF!</v>
      </c>
      <c r="AZ58" s="38" t="e">
        <f>AZ17-#REF!</f>
        <v>#REF!</v>
      </c>
      <c r="BA58" s="38" t="e">
        <f>BA17-#REF!</f>
        <v>#REF!</v>
      </c>
      <c r="BB58" s="38" t="e">
        <f>BB17-#REF!</f>
        <v>#REF!</v>
      </c>
      <c r="BC58" s="38" t="e">
        <f>BC17-#REF!</f>
        <v>#REF!</v>
      </c>
      <c r="BD58" s="38" t="e">
        <f>BD17-#REF!</f>
        <v>#REF!</v>
      </c>
      <c r="BE58" s="38" t="e">
        <f>BE17-#REF!</f>
        <v>#REF!</v>
      </c>
      <c r="BF58" s="38" t="e">
        <f>BF17-#REF!</f>
        <v>#REF!</v>
      </c>
      <c r="BG58" s="38" t="e">
        <f>BG17-#REF!</f>
        <v>#REF!</v>
      </c>
      <c r="BH58" s="38" t="e">
        <f>BH17-#REF!</f>
        <v>#REF!</v>
      </c>
      <c r="BI58" s="38" t="e">
        <f>BI17-#REF!</f>
        <v>#REF!</v>
      </c>
      <c r="BJ58" s="38" t="e">
        <f>BJ17-#REF!</f>
        <v>#REF!</v>
      </c>
      <c r="BK58" s="38" t="e">
        <f>BK17-#REF!</f>
        <v>#REF!</v>
      </c>
      <c r="BL58" s="38" t="e">
        <f>BL17-#REF!</f>
        <v>#REF!</v>
      </c>
      <c r="BM58" s="38" t="e">
        <f>BM17-#REF!</f>
        <v>#REF!</v>
      </c>
      <c r="BN58" s="38" t="e">
        <f>BN17-#REF!</f>
        <v>#REF!</v>
      </c>
      <c r="BO58" s="38" t="e">
        <f>BO17-#REF!</f>
        <v>#REF!</v>
      </c>
      <c r="BP58" s="38" t="e">
        <f>BP17-#REF!</f>
        <v>#REF!</v>
      </c>
      <c r="BQ58" s="38" t="e">
        <f>BQ17-#REF!</f>
        <v>#REF!</v>
      </c>
      <c r="BR58" s="38" t="e">
        <f>BR17-#REF!</f>
        <v>#REF!</v>
      </c>
      <c r="BS58" s="38" t="e">
        <f>BS17-#REF!</f>
        <v>#REF!</v>
      </c>
      <c r="BT58" s="38" t="e">
        <f>BT17-#REF!</f>
        <v>#REF!</v>
      </c>
      <c r="BU58" s="38" t="e">
        <f>BU17-#REF!</f>
        <v>#REF!</v>
      </c>
    </row>
    <row r="59" spans="4:73" hidden="1" x14ac:dyDescent="0.2">
      <c r="E59" s="190"/>
      <c r="F59" s="377"/>
      <c r="G59" s="377"/>
      <c r="M59" s="38" t="e">
        <f>M18-#REF!</f>
        <v>#REF!</v>
      </c>
      <c r="N59" s="38" t="e">
        <f>N18-#REF!</f>
        <v>#REF!</v>
      </c>
      <c r="O59" s="38" t="e">
        <f>O18-#REF!</f>
        <v>#REF!</v>
      </c>
      <c r="P59" s="38" t="e">
        <f>P18-#REF!</f>
        <v>#REF!</v>
      </c>
      <c r="Q59" s="38" t="e">
        <f>Q18-#REF!</f>
        <v>#REF!</v>
      </c>
      <c r="R59" s="38" t="e">
        <f>R18-#REF!</f>
        <v>#REF!</v>
      </c>
      <c r="S59" s="38" t="e">
        <f>S18-#REF!</f>
        <v>#REF!</v>
      </c>
      <c r="T59" s="38" t="e">
        <f>T18-#REF!</f>
        <v>#REF!</v>
      </c>
      <c r="U59" s="38" t="e">
        <f>U18-#REF!</f>
        <v>#REF!</v>
      </c>
      <c r="V59" s="38" t="e">
        <f>V18-#REF!</f>
        <v>#REF!</v>
      </c>
      <c r="W59" s="38" t="e">
        <f>W18-#REF!</f>
        <v>#REF!</v>
      </c>
      <c r="X59" s="38" t="e">
        <f>X18-#REF!</f>
        <v>#REF!</v>
      </c>
      <c r="Y59" s="38" t="e">
        <f>Y18-#REF!</f>
        <v>#REF!</v>
      </c>
      <c r="Z59" s="38" t="e">
        <f>Z18-#REF!</f>
        <v>#REF!</v>
      </c>
      <c r="AA59" s="38" t="e">
        <f>AA18-#REF!</f>
        <v>#REF!</v>
      </c>
      <c r="AB59" s="38" t="e">
        <f>AB18-#REF!</f>
        <v>#REF!</v>
      </c>
      <c r="AC59" s="38" t="e">
        <f>AC18-#REF!</f>
        <v>#REF!</v>
      </c>
      <c r="AD59" s="38" t="e">
        <f>AD18-#REF!</f>
        <v>#REF!</v>
      </c>
      <c r="AE59" s="38" t="e">
        <f>AE18-#REF!</f>
        <v>#REF!</v>
      </c>
      <c r="AF59" s="38" t="e">
        <f>AF18-#REF!</f>
        <v>#REF!</v>
      </c>
      <c r="AG59" s="38" t="e">
        <f>AG18-#REF!</f>
        <v>#REF!</v>
      </c>
      <c r="AH59" s="38" t="e">
        <f>AH18-#REF!</f>
        <v>#REF!</v>
      </c>
      <c r="AI59" s="38" t="e">
        <f>AI18-#REF!</f>
        <v>#REF!</v>
      </c>
      <c r="AJ59" s="38" t="e">
        <f>AJ18-#REF!</f>
        <v>#REF!</v>
      </c>
      <c r="AK59" s="38" t="e">
        <f>AK18-#REF!</f>
        <v>#REF!</v>
      </c>
      <c r="AL59" s="38" t="e">
        <f>AL18-#REF!</f>
        <v>#REF!</v>
      </c>
      <c r="AM59" s="38" t="e">
        <f>AM18-#REF!</f>
        <v>#REF!</v>
      </c>
      <c r="AN59" s="38" t="e">
        <f>AN18-#REF!</f>
        <v>#REF!</v>
      </c>
      <c r="AO59" s="38" t="e">
        <f>AO18-#REF!</f>
        <v>#REF!</v>
      </c>
      <c r="AP59" s="38" t="e">
        <f>AP18-#REF!</f>
        <v>#REF!</v>
      </c>
      <c r="AQ59" s="38" t="e">
        <f>AQ18-#REF!</f>
        <v>#REF!</v>
      </c>
      <c r="AR59" s="38" t="e">
        <f>AR18-#REF!</f>
        <v>#REF!</v>
      </c>
      <c r="AS59" s="38" t="e">
        <f>AS18-#REF!</f>
        <v>#REF!</v>
      </c>
      <c r="AT59" s="38" t="e">
        <f>AT18-#REF!</f>
        <v>#REF!</v>
      </c>
      <c r="AU59" s="38" t="e">
        <f>AU18-#REF!</f>
        <v>#REF!</v>
      </c>
      <c r="AV59" s="38" t="e">
        <f>AV18-#REF!</f>
        <v>#REF!</v>
      </c>
      <c r="AW59" s="38" t="e">
        <f>AW18-#REF!</f>
        <v>#REF!</v>
      </c>
      <c r="AX59" s="38" t="e">
        <f>AX18-#REF!</f>
        <v>#REF!</v>
      </c>
      <c r="AY59" s="38" t="e">
        <f>AY18-#REF!</f>
        <v>#REF!</v>
      </c>
      <c r="AZ59" s="38" t="e">
        <f>AZ18-#REF!</f>
        <v>#REF!</v>
      </c>
      <c r="BA59" s="38" t="e">
        <f>BA18-#REF!</f>
        <v>#REF!</v>
      </c>
      <c r="BB59" s="38" t="e">
        <f>BB18-#REF!</f>
        <v>#REF!</v>
      </c>
      <c r="BC59" s="38" t="e">
        <f>BC18-#REF!</f>
        <v>#REF!</v>
      </c>
      <c r="BD59" s="38" t="e">
        <f>BD18-#REF!</f>
        <v>#REF!</v>
      </c>
      <c r="BE59" s="38" t="e">
        <f>BE18-#REF!</f>
        <v>#REF!</v>
      </c>
      <c r="BF59" s="38" t="e">
        <f>BF18-#REF!</f>
        <v>#REF!</v>
      </c>
      <c r="BG59" s="38" t="e">
        <f>BG18-#REF!</f>
        <v>#REF!</v>
      </c>
      <c r="BH59" s="38" t="e">
        <f>BH18-#REF!</f>
        <v>#REF!</v>
      </c>
      <c r="BI59" s="38" t="e">
        <f>BI18-#REF!</f>
        <v>#REF!</v>
      </c>
      <c r="BJ59" s="38" t="e">
        <f>BJ18-#REF!</f>
        <v>#REF!</v>
      </c>
      <c r="BK59" s="38" t="e">
        <f>BK18-#REF!</f>
        <v>#REF!</v>
      </c>
      <c r="BL59" s="38" t="e">
        <f>BL18-#REF!</f>
        <v>#REF!</v>
      </c>
      <c r="BM59" s="38" t="e">
        <f>BM18-#REF!</f>
        <v>#REF!</v>
      </c>
      <c r="BN59" s="38" t="e">
        <f>BN18-#REF!</f>
        <v>#REF!</v>
      </c>
      <c r="BO59" s="38" t="e">
        <f>BO18-#REF!</f>
        <v>#REF!</v>
      </c>
      <c r="BP59" s="38" t="e">
        <f>BP18-#REF!</f>
        <v>#REF!</v>
      </c>
      <c r="BQ59" s="38" t="e">
        <f>BQ18-#REF!</f>
        <v>#REF!</v>
      </c>
      <c r="BR59" s="38" t="e">
        <f>BR18-#REF!</f>
        <v>#REF!</v>
      </c>
      <c r="BS59" s="38" t="e">
        <f>BS18-#REF!</f>
        <v>#REF!</v>
      </c>
      <c r="BT59" s="38" t="e">
        <f>BT18-#REF!</f>
        <v>#REF!</v>
      </c>
      <c r="BU59" s="38" t="e">
        <f>BU18-#REF!</f>
        <v>#REF!</v>
      </c>
    </row>
    <row r="60" spans="4:73" hidden="1" x14ac:dyDescent="0.2">
      <c r="M60" s="38" t="e">
        <f>M19-#REF!</f>
        <v>#REF!</v>
      </c>
      <c r="N60" s="38" t="e">
        <f>N19-#REF!</f>
        <v>#REF!</v>
      </c>
      <c r="O60" s="38" t="e">
        <f>O19-#REF!</f>
        <v>#REF!</v>
      </c>
      <c r="P60" s="38" t="e">
        <f>P19-#REF!</f>
        <v>#REF!</v>
      </c>
      <c r="Q60" s="38" t="e">
        <f>Q19-#REF!</f>
        <v>#REF!</v>
      </c>
      <c r="R60" s="38" t="e">
        <f>R19-#REF!</f>
        <v>#REF!</v>
      </c>
      <c r="S60" s="38" t="e">
        <f>S19-#REF!</f>
        <v>#REF!</v>
      </c>
      <c r="T60" s="38" t="e">
        <f>T19-#REF!</f>
        <v>#REF!</v>
      </c>
      <c r="U60" s="38" t="e">
        <f>U19-#REF!</f>
        <v>#REF!</v>
      </c>
      <c r="V60" s="38" t="e">
        <f>V19-#REF!</f>
        <v>#REF!</v>
      </c>
      <c r="W60" s="38" t="e">
        <f>W19-#REF!</f>
        <v>#REF!</v>
      </c>
      <c r="X60" s="38" t="e">
        <f>X19-#REF!</f>
        <v>#REF!</v>
      </c>
      <c r="Y60" s="38" t="e">
        <f>Y19-#REF!</f>
        <v>#REF!</v>
      </c>
      <c r="Z60" s="38" t="e">
        <f>Z19-#REF!</f>
        <v>#REF!</v>
      </c>
      <c r="AA60" s="38" t="e">
        <f>AA19-#REF!</f>
        <v>#REF!</v>
      </c>
      <c r="AB60" s="38" t="e">
        <f>AB19-#REF!</f>
        <v>#REF!</v>
      </c>
      <c r="AC60" s="38" t="e">
        <f>AC19-#REF!</f>
        <v>#REF!</v>
      </c>
      <c r="AD60" s="38" t="e">
        <f>AD19-#REF!</f>
        <v>#REF!</v>
      </c>
      <c r="AE60" s="38" t="e">
        <f>AE19-#REF!</f>
        <v>#REF!</v>
      </c>
      <c r="AF60" s="38" t="e">
        <f>AF19-#REF!</f>
        <v>#REF!</v>
      </c>
      <c r="AG60" s="38" t="e">
        <f>AG19-#REF!</f>
        <v>#REF!</v>
      </c>
      <c r="AH60" s="38" t="e">
        <f>AH19-#REF!</f>
        <v>#REF!</v>
      </c>
      <c r="AI60" s="38" t="e">
        <f>AI19-#REF!</f>
        <v>#REF!</v>
      </c>
      <c r="AJ60" s="38" t="e">
        <f>AJ19-#REF!</f>
        <v>#REF!</v>
      </c>
      <c r="AK60" s="38" t="e">
        <f>AK19-#REF!</f>
        <v>#REF!</v>
      </c>
      <c r="AL60" s="38" t="e">
        <f>AL19-#REF!</f>
        <v>#REF!</v>
      </c>
      <c r="AM60" s="38" t="e">
        <f>AM19-#REF!</f>
        <v>#REF!</v>
      </c>
      <c r="AN60" s="38" t="e">
        <f>AN19-#REF!</f>
        <v>#REF!</v>
      </c>
      <c r="AO60" s="38" t="e">
        <f>AO19-#REF!</f>
        <v>#REF!</v>
      </c>
      <c r="AP60" s="38" t="e">
        <f>AP19-#REF!</f>
        <v>#REF!</v>
      </c>
      <c r="AQ60" s="38" t="e">
        <f>AQ19-#REF!</f>
        <v>#REF!</v>
      </c>
      <c r="AR60" s="38" t="e">
        <f>AR19-#REF!</f>
        <v>#REF!</v>
      </c>
      <c r="AS60" s="38" t="e">
        <f>AS19-#REF!</f>
        <v>#REF!</v>
      </c>
      <c r="AT60" s="38" t="e">
        <f>AT19-#REF!</f>
        <v>#REF!</v>
      </c>
      <c r="AU60" s="38" t="e">
        <f>AU19-#REF!</f>
        <v>#REF!</v>
      </c>
      <c r="AV60" s="38" t="e">
        <f>AV19-#REF!</f>
        <v>#REF!</v>
      </c>
      <c r="AW60" s="38" t="e">
        <f>AW19-#REF!</f>
        <v>#REF!</v>
      </c>
      <c r="AX60" s="38" t="e">
        <f>AX19-#REF!</f>
        <v>#REF!</v>
      </c>
      <c r="AY60" s="38" t="e">
        <f>AY19-#REF!</f>
        <v>#REF!</v>
      </c>
      <c r="AZ60" s="38" t="e">
        <f>AZ19-#REF!</f>
        <v>#REF!</v>
      </c>
      <c r="BA60" s="38" t="e">
        <f>BA19-#REF!</f>
        <v>#REF!</v>
      </c>
      <c r="BB60" s="38" t="e">
        <f>BB19-#REF!</f>
        <v>#REF!</v>
      </c>
      <c r="BC60" s="38" t="e">
        <f>BC19-#REF!</f>
        <v>#REF!</v>
      </c>
      <c r="BD60" s="38" t="e">
        <f>BD19-#REF!</f>
        <v>#REF!</v>
      </c>
      <c r="BE60" s="38" t="e">
        <f>BE19-#REF!</f>
        <v>#REF!</v>
      </c>
      <c r="BF60" s="38" t="e">
        <f>BF19-#REF!</f>
        <v>#REF!</v>
      </c>
      <c r="BG60" s="38" t="e">
        <f>BG19-#REF!</f>
        <v>#REF!</v>
      </c>
      <c r="BH60" s="38" t="e">
        <f>BH19-#REF!</f>
        <v>#REF!</v>
      </c>
      <c r="BI60" s="38" t="e">
        <f>BI19-#REF!</f>
        <v>#REF!</v>
      </c>
      <c r="BJ60" s="38" t="e">
        <f>BJ19-#REF!</f>
        <v>#REF!</v>
      </c>
      <c r="BK60" s="38" t="e">
        <f>BK19-#REF!</f>
        <v>#REF!</v>
      </c>
      <c r="BL60" s="38" t="e">
        <f>BL19-#REF!</f>
        <v>#REF!</v>
      </c>
      <c r="BM60" s="38" t="e">
        <f>BM19-#REF!</f>
        <v>#REF!</v>
      </c>
      <c r="BN60" s="38" t="e">
        <f>BN19-#REF!</f>
        <v>#REF!</v>
      </c>
      <c r="BO60" s="38" t="e">
        <f>BO19-#REF!</f>
        <v>#REF!</v>
      </c>
      <c r="BP60" s="38" t="e">
        <f>BP19-#REF!</f>
        <v>#REF!</v>
      </c>
      <c r="BQ60" s="38" t="e">
        <f>BQ19-#REF!</f>
        <v>#REF!</v>
      </c>
      <c r="BR60" s="38" t="e">
        <f>BR19-#REF!</f>
        <v>#REF!</v>
      </c>
      <c r="BS60" s="38" t="e">
        <f>BS19-#REF!</f>
        <v>#REF!</v>
      </c>
      <c r="BT60" s="38" t="e">
        <f>BT19-#REF!</f>
        <v>#REF!</v>
      </c>
      <c r="BU60" s="38" t="e">
        <f>BU19-#REF!</f>
        <v>#REF!</v>
      </c>
    </row>
    <row r="61" spans="4:73" hidden="1" x14ac:dyDescent="0.2">
      <c r="M61" s="38" t="e">
        <f>M20-#REF!</f>
        <v>#REF!</v>
      </c>
      <c r="N61" s="38" t="e">
        <f>N20-#REF!</f>
        <v>#REF!</v>
      </c>
      <c r="O61" s="38" t="e">
        <f>O20-#REF!</f>
        <v>#REF!</v>
      </c>
      <c r="P61" s="38" t="e">
        <f>P20-#REF!</f>
        <v>#REF!</v>
      </c>
      <c r="Q61" s="38" t="e">
        <f>Q20-#REF!</f>
        <v>#REF!</v>
      </c>
      <c r="R61" s="38" t="e">
        <f>R20-#REF!</f>
        <v>#REF!</v>
      </c>
      <c r="S61" s="38" t="e">
        <f>S20-#REF!</f>
        <v>#REF!</v>
      </c>
      <c r="T61" s="38" t="e">
        <f>T20-#REF!</f>
        <v>#REF!</v>
      </c>
      <c r="U61" s="38" t="e">
        <f>U20-#REF!</f>
        <v>#REF!</v>
      </c>
      <c r="V61" s="38" t="e">
        <f>V20-#REF!</f>
        <v>#REF!</v>
      </c>
      <c r="W61" s="38" t="e">
        <f>W20-#REF!</f>
        <v>#REF!</v>
      </c>
      <c r="X61" s="38" t="e">
        <f>X20-#REF!</f>
        <v>#REF!</v>
      </c>
      <c r="Y61" s="38" t="e">
        <f>Y20-#REF!</f>
        <v>#REF!</v>
      </c>
      <c r="Z61" s="38" t="e">
        <f>Z20-#REF!</f>
        <v>#REF!</v>
      </c>
      <c r="AA61" s="38" t="e">
        <f>AA20-#REF!</f>
        <v>#REF!</v>
      </c>
      <c r="AB61" s="38" t="e">
        <f>AB20-#REF!</f>
        <v>#REF!</v>
      </c>
      <c r="AC61" s="38" t="e">
        <f>AC20-#REF!</f>
        <v>#REF!</v>
      </c>
      <c r="AD61" s="38" t="e">
        <f>AD20-#REF!</f>
        <v>#REF!</v>
      </c>
      <c r="AE61" s="38" t="e">
        <f>AE20-#REF!</f>
        <v>#REF!</v>
      </c>
      <c r="AF61" s="38" t="e">
        <f>AF20-#REF!</f>
        <v>#REF!</v>
      </c>
      <c r="AG61" s="38" t="e">
        <f>AG20-#REF!</f>
        <v>#REF!</v>
      </c>
      <c r="AH61" s="38" t="e">
        <f>AH20-#REF!</f>
        <v>#REF!</v>
      </c>
      <c r="AI61" s="38" t="e">
        <f>AI20-#REF!</f>
        <v>#REF!</v>
      </c>
      <c r="AJ61" s="38" t="e">
        <f>AJ20-#REF!</f>
        <v>#REF!</v>
      </c>
      <c r="AK61" s="38" t="e">
        <f>AK20-#REF!</f>
        <v>#REF!</v>
      </c>
      <c r="AL61" s="38" t="e">
        <f>AL20-#REF!</f>
        <v>#REF!</v>
      </c>
      <c r="AM61" s="38" t="e">
        <f>AM20-#REF!</f>
        <v>#REF!</v>
      </c>
      <c r="AN61" s="38" t="e">
        <f>AN20-#REF!</f>
        <v>#REF!</v>
      </c>
      <c r="AO61" s="38" t="e">
        <f>AO20-#REF!</f>
        <v>#REF!</v>
      </c>
      <c r="AP61" s="38" t="e">
        <f>AP20-#REF!</f>
        <v>#REF!</v>
      </c>
      <c r="AQ61" s="38" t="e">
        <f>AQ20-#REF!</f>
        <v>#REF!</v>
      </c>
      <c r="AR61" s="38" t="e">
        <f>AR20-#REF!</f>
        <v>#REF!</v>
      </c>
      <c r="AS61" s="38" t="e">
        <f>AS20-#REF!</f>
        <v>#REF!</v>
      </c>
      <c r="AT61" s="38" t="e">
        <f>AT20-#REF!</f>
        <v>#REF!</v>
      </c>
      <c r="AU61" s="38" t="e">
        <f>AU20-#REF!</f>
        <v>#REF!</v>
      </c>
      <c r="AV61" s="38" t="e">
        <f>AV20-#REF!</f>
        <v>#REF!</v>
      </c>
      <c r="AW61" s="38" t="e">
        <f>AW20-#REF!</f>
        <v>#REF!</v>
      </c>
      <c r="AX61" s="38" t="e">
        <f>AX20-#REF!</f>
        <v>#REF!</v>
      </c>
      <c r="AY61" s="38" t="e">
        <f>AY20-#REF!</f>
        <v>#REF!</v>
      </c>
      <c r="AZ61" s="38" t="e">
        <f>AZ20-#REF!</f>
        <v>#REF!</v>
      </c>
      <c r="BA61" s="38" t="e">
        <f>BA20-#REF!</f>
        <v>#REF!</v>
      </c>
      <c r="BB61" s="38" t="e">
        <f>BB20-#REF!</f>
        <v>#REF!</v>
      </c>
      <c r="BC61" s="38" t="e">
        <f>BC20-#REF!</f>
        <v>#REF!</v>
      </c>
      <c r="BD61" s="38" t="e">
        <f>BD20-#REF!</f>
        <v>#REF!</v>
      </c>
      <c r="BE61" s="38" t="e">
        <f>BE20-#REF!</f>
        <v>#REF!</v>
      </c>
      <c r="BF61" s="38" t="e">
        <f>BF20-#REF!</f>
        <v>#REF!</v>
      </c>
      <c r="BG61" s="38" t="e">
        <f>BG20-#REF!</f>
        <v>#REF!</v>
      </c>
      <c r="BH61" s="38" t="e">
        <f>BH20-#REF!</f>
        <v>#REF!</v>
      </c>
      <c r="BI61" s="38" t="e">
        <f>BI20-#REF!</f>
        <v>#REF!</v>
      </c>
      <c r="BJ61" s="38" t="e">
        <f>BJ20-#REF!</f>
        <v>#REF!</v>
      </c>
      <c r="BK61" s="38" t="e">
        <f>BK20-#REF!</f>
        <v>#REF!</v>
      </c>
      <c r="BL61" s="38" t="e">
        <f>BL20-#REF!</f>
        <v>#REF!</v>
      </c>
      <c r="BM61" s="38" t="e">
        <f>BM20-#REF!</f>
        <v>#REF!</v>
      </c>
      <c r="BN61" s="38" t="e">
        <f>BN20-#REF!</f>
        <v>#REF!</v>
      </c>
      <c r="BO61" s="38" t="e">
        <f>BO20-#REF!</f>
        <v>#REF!</v>
      </c>
      <c r="BP61" s="38" t="e">
        <f>BP20-#REF!</f>
        <v>#REF!</v>
      </c>
      <c r="BQ61" s="38" t="e">
        <f>BQ20-#REF!</f>
        <v>#REF!</v>
      </c>
      <c r="BR61" s="38" t="e">
        <f>BR20-#REF!</f>
        <v>#REF!</v>
      </c>
      <c r="BS61" s="38" t="e">
        <f>BS20-#REF!</f>
        <v>#REF!</v>
      </c>
      <c r="BT61" s="38" t="e">
        <f>BT20-#REF!</f>
        <v>#REF!</v>
      </c>
      <c r="BU61" s="38" t="e">
        <f>BU20-#REF!</f>
        <v>#REF!</v>
      </c>
    </row>
    <row r="62" spans="4:73" hidden="1" x14ac:dyDescent="0.2">
      <c r="M62" s="38" t="e">
        <f>M21-#REF!</f>
        <v>#REF!</v>
      </c>
      <c r="N62" s="38" t="e">
        <f>N21-#REF!</f>
        <v>#REF!</v>
      </c>
      <c r="O62" s="38" t="e">
        <f>O21-#REF!</f>
        <v>#REF!</v>
      </c>
      <c r="P62" s="38" t="e">
        <f>P21-#REF!</f>
        <v>#REF!</v>
      </c>
      <c r="Q62" s="38" t="e">
        <f>Q21-#REF!</f>
        <v>#REF!</v>
      </c>
      <c r="R62" s="38" t="e">
        <f>R21-#REF!</f>
        <v>#REF!</v>
      </c>
      <c r="S62" s="38" t="e">
        <f>S21-#REF!</f>
        <v>#REF!</v>
      </c>
      <c r="T62" s="38" t="e">
        <f>T21-#REF!</f>
        <v>#REF!</v>
      </c>
      <c r="U62" s="38" t="e">
        <f>U21-#REF!</f>
        <v>#REF!</v>
      </c>
      <c r="V62" s="38" t="e">
        <f>V21-#REF!</f>
        <v>#REF!</v>
      </c>
      <c r="W62" s="38" t="e">
        <f>W21-#REF!</f>
        <v>#REF!</v>
      </c>
      <c r="X62" s="38" t="e">
        <f>X21-#REF!</f>
        <v>#REF!</v>
      </c>
      <c r="Y62" s="38" t="e">
        <f>Y21-#REF!</f>
        <v>#REF!</v>
      </c>
      <c r="Z62" s="38" t="e">
        <f>Z21-#REF!</f>
        <v>#REF!</v>
      </c>
      <c r="AA62" s="38" t="e">
        <f>AA21-#REF!</f>
        <v>#REF!</v>
      </c>
      <c r="AB62" s="38" t="e">
        <f>AB21-#REF!</f>
        <v>#REF!</v>
      </c>
      <c r="AC62" s="38" t="e">
        <f>AC21-#REF!</f>
        <v>#REF!</v>
      </c>
      <c r="AD62" s="38" t="e">
        <f>AD21-#REF!</f>
        <v>#REF!</v>
      </c>
      <c r="AE62" s="38" t="e">
        <f>AE21-#REF!</f>
        <v>#REF!</v>
      </c>
      <c r="AF62" s="38" t="e">
        <f>AF21-#REF!</f>
        <v>#REF!</v>
      </c>
      <c r="AG62" s="38" t="e">
        <f>AG21-#REF!</f>
        <v>#REF!</v>
      </c>
      <c r="AH62" s="38" t="e">
        <f>AH21-#REF!</f>
        <v>#REF!</v>
      </c>
      <c r="AI62" s="38" t="e">
        <f>AI21-#REF!</f>
        <v>#REF!</v>
      </c>
      <c r="AJ62" s="38" t="e">
        <f>AJ21-#REF!</f>
        <v>#REF!</v>
      </c>
      <c r="AK62" s="38" t="e">
        <f>AK21-#REF!</f>
        <v>#REF!</v>
      </c>
      <c r="AL62" s="38" t="e">
        <f>AL21-#REF!</f>
        <v>#REF!</v>
      </c>
      <c r="AM62" s="38" t="e">
        <f>AM21-#REF!</f>
        <v>#REF!</v>
      </c>
      <c r="AN62" s="38" t="e">
        <f>AN21-#REF!</f>
        <v>#REF!</v>
      </c>
      <c r="AO62" s="38" t="e">
        <f>AO21-#REF!</f>
        <v>#REF!</v>
      </c>
      <c r="AP62" s="38" t="e">
        <f>AP21-#REF!</f>
        <v>#REF!</v>
      </c>
      <c r="AQ62" s="38" t="e">
        <f>AQ21-#REF!</f>
        <v>#REF!</v>
      </c>
      <c r="AR62" s="38" t="e">
        <f>AR21-#REF!</f>
        <v>#REF!</v>
      </c>
      <c r="AS62" s="38" t="e">
        <f>AS21-#REF!</f>
        <v>#REF!</v>
      </c>
      <c r="AT62" s="38" t="e">
        <f>AT21-#REF!</f>
        <v>#REF!</v>
      </c>
      <c r="AU62" s="38" t="e">
        <f>AU21-#REF!</f>
        <v>#REF!</v>
      </c>
      <c r="AV62" s="38" t="e">
        <f>AV21-#REF!</f>
        <v>#REF!</v>
      </c>
      <c r="AW62" s="38" t="e">
        <f>AW21-#REF!</f>
        <v>#REF!</v>
      </c>
      <c r="AX62" s="38" t="e">
        <f>AX21-#REF!</f>
        <v>#REF!</v>
      </c>
      <c r="AY62" s="38" t="e">
        <f>AY21-#REF!</f>
        <v>#REF!</v>
      </c>
      <c r="AZ62" s="38" t="e">
        <f>AZ21-#REF!</f>
        <v>#REF!</v>
      </c>
      <c r="BA62" s="38" t="e">
        <f>BA21-#REF!</f>
        <v>#REF!</v>
      </c>
      <c r="BB62" s="38" t="e">
        <f>BB21-#REF!</f>
        <v>#REF!</v>
      </c>
      <c r="BC62" s="38" t="e">
        <f>BC21-#REF!</f>
        <v>#REF!</v>
      </c>
      <c r="BD62" s="38" t="e">
        <f>BD21-#REF!</f>
        <v>#REF!</v>
      </c>
      <c r="BE62" s="38" t="e">
        <f>BE21-#REF!</f>
        <v>#REF!</v>
      </c>
      <c r="BF62" s="38" t="e">
        <f>BF21-#REF!</f>
        <v>#REF!</v>
      </c>
      <c r="BG62" s="38" t="e">
        <f>BG21-#REF!</f>
        <v>#REF!</v>
      </c>
      <c r="BH62" s="38" t="e">
        <f>BH21-#REF!</f>
        <v>#REF!</v>
      </c>
      <c r="BI62" s="38" t="e">
        <f>BI21-#REF!</f>
        <v>#REF!</v>
      </c>
      <c r="BJ62" s="38" t="e">
        <f>BJ21-#REF!</f>
        <v>#REF!</v>
      </c>
      <c r="BK62" s="38" t="e">
        <f>BK21-#REF!</f>
        <v>#REF!</v>
      </c>
      <c r="BL62" s="38" t="e">
        <f>BL21-#REF!</f>
        <v>#REF!</v>
      </c>
      <c r="BM62" s="38" t="e">
        <f>BM21-#REF!</f>
        <v>#REF!</v>
      </c>
      <c r="BN62" s="38" t="e">
        <f>BN21-#REF!</f>
        <v>#REF!</v>
      </c>
      <c r="BO62" s="38" t="e">
        <f>BO21-#REF!</f>
        <v>#REF!</v>
      </c>
      <c r="BP62" s="38" t="e">
        <f>BP21-#REF!</f>
        <v>#REF!</v>
      </c>
      <c r="BQ62" s="38" t="e">
        <f>BQ21-#REF!</f>
        <v>#REF!</v>
      </c>
      <c r="BR62" s="38" t="e">
        <f>BR21-#REF!</f>
        <v>#REF!</v>
      </c>
      <c r="BS62" s="38" t="e">
        <f>BS21-#REF!</f>
        <v>#REF!</v>
      </c>
      <c r="BT62" s="38" t="e">
        <f>BT21-#REF!</f>
        <v>#REF!</v>
      </c>
      <c r="BU62" s="38" t="e">
        <f>BU21-#REF!</f>
        <v>#REF!</v>
      </c>
    </row>
    <row r="63" spans="4:73" hidden="1" x14ac:dyDescent="0.2">
      <c r="M63" s="38" t="e">
        <f>M22-#REF!</f>
        <v>#REF!</v>
      </c>
      <c r="N63" s="38" t="e">
        <f>N22-#REF!</f>
        <v>#REF!</v>
      </c>
      <c r="O63" s="38" t="e">
        <f>O22-#REF!</f>
        <v>#REF!</v>
      </c>
      <c r="P63" s="38" t="e">
        <f>P22-#REF!</f>
        <v>#REF!</v>
      </c>
      <c r="Q63" s="38" t="e">
        <f>Q22-#REF!</f>
        <v>#REF!</v>
      </c>
      <c r="R63" s="38" t="e">
        <f>R22-#REF!</f>
        <v>#REF!</v>
      </c>
      <c r="S63" s="38" t="e">
        <f>S22-#REF!</f>
        <v>#REF!</v>
      </c>
      <c r="T63" s="38" t="e">
        <f>T22-#REF!</f>
        <v>#REF!</v>
      </c>
      <c r="U63" s="38" t="e">
        <f>U22-#REF!</f>
        <v>#REF!</v>
      </c>
      <c r="V63" s="38" t="e">
        <f>V22-#REF!</f>
        <v>#REF!</v>
      </c>
      <c r="W63" s="38" t="e">
        <f>W22-#REF!</f>
        <v>#REF!</v>
      </c>
      <c r="X63" s="38" t="e">
        <f>X22-#REF!</f>
        <v>#REF!</v>
      </c>
      <c r="Y63" s="38" t="e">
        <f>Y22-#REF!</f>
        <v>#REF!</v>
      </c>
      <c r="Z63" s="38" t="e">
        <f>Z22-#REF!</f>
        <v>#REF!</v>
      </c>
      <c r="AA63" s="38" t="e">
        <f>AA22-#REF!</f>
        <v>#REF!</v>
      </c>
      <c r="AB63" s="38" t="e">
        <f>AB22-#REF!</f>
        <v>#REF!</v>
      </c>
      <c r="AC63" s="38" t="e">
        <f>AC22-#REF!</f>
        <v>#REF!</v>
      </c>
      <c r="AD63" s="38" t="e">
        <f>AD22-#REF!</f>
        <v>#REF!</v>
      </c>
      <c r="AE63" s="38" t="e">
        <f>AE22-#REF!</f>
        <v>#REF!</v>
      </c>
      <c r="AF63" s="38" t="e">
        <f>AF22-#REF!</f>
        <v>#REF!</v>
      </c>
      <c r="AG63" s="38" t="e">
        <f>AG22-#REF!</f>
        <v>#REF!</v>
      </c>
      <c r="AH63" s="38" t="e">
        <f>AH22-#REF!</f>
        <v>#REF!</v>
      </c>
      <c r="AI63" s="38" t="e">
        <f>AI22-#REF!</f>
        <v>#REF!</v>
      </c>
      <c r="AJ63" s="38" t="e">
        <f>AJ22-#REF!</f>
        <v>#REF!</v>
      </c>
      <c r="AK63" s="38" t="e">
        <f>AK22-#REF!</f>
        <v>#REF!</v>
      </c>
      <c r="AL63" s="38" t="e">
        <f>AL22-#REF!</f>
        <v>#REF!</v>
      </c>
      <c r="AM63" s="38" t="e">
        <f>AM22-#REF!</f>
        <v>#REF!</v>
      </c>
      <c r="AN63" s="38" t="e">
        <f>AN22-#REF!</f>
        <v>#REF!</v>
      </c>
      <c r="AO63" s="38" t="e">
        <f>AO22-#REF!</f>
        <v>#REF!</v>
      </c>
      <c r="AP63" s="38" t="e">
        <f>AP22-#REF!</f>
        <v>#REF!</v>
      </c>
      <c r="AQ63" s="38" t="e">
        <f>AQ22-#REF!</f>
        <v>#REF!</v>
      </c>
      <c r="AR63" s="38" t="e">
        <f>AR22-#REF!</f>
        <v>#REF!</v>
      </c>
      <c r="AS63" s="38" t="e">
        <f>AS22-#REF!</f>
        <v>#REF!</v>
      </c>
      <c r="AT63" s="38" t="e">
        <f>AT22-#REF!</f>
        <v>#REF!</v>
      </c>
      <c r="AU63" s="38" t="e">
        <f>AU22-#REF!</f>
        <v>#REF!</v>
      </c>
      <c r="AV63" s="38" t="e">
        <f>AV22-#REF!</f>
        <v>#REF!</v>
      </c>
      <c r="AW63" s="38" t="e">
        <f>AW22-#REF!</f>
        <v>#REF!</v>
      </c>
      <c r="AX63" s="38" t="e">
        <f>AX22-#REF!</f>
        <v>#REF!</v>
      </c>
      <c r="AY63" s="38" t="e">
        <f>AY22-#REF!</f>
        <v>#REF!</v>
      </c>
      <c r="AZ63" s="38" t="e">
        <f>AZ22-#REF!</f>
        <v>#REF!</v>
      </c>
      <c r="BA63" s="38" t="e">
        <f>BA22-#REF!</f>
        <v>#REF!</v>
      </c>
      <c r="BB63" s="38" t="e">
        <f>BB22-#REF!</f>
        <v>#REF!</v>
      </c>
      <c r="BC63" s="38" t="e">
        <f>BC22-#REF!</f>
        <v>#REF!</v>
      </c>
      <c r="BD63" s="38" t="e">
        <f>BD22-#REF!</f>
        <v>#REF!</v>
      </c>
      <c r="BE63" s="38" t="e">
        <f>BE22-#REF!</f>
        <v>#REF!</v>
      </c>
      <c r="BF63" s="38" t="e">
        <f>BF22-#REF!</f>
        <v>#REF!</v>
      </c>
      <c r="BG63" s="38" t="e">
        <f>BG22-#REF!</f>
        <v>#REF!</v>
      </c>
      <c r="BH63" s="38" t="e">
        <f>BH22-#REF!</f>
        <v>#REF!</v>
      </c>
      <c r="BI63" s="38" t="e">
        <f>BI22-#REF!</f>
        <v>#REF!</v>
      </c>
      <c r="BJ63" s="38" t="e">
        <f>BJ22-#REF!</f>
        <v>#REF!</v>
      </c>
      <c r="BK63" s="38" t="e">
        <f>BK22-#REF!</f>
        <v>#REF!</v>
      </c>
      <c r="BL63" s="38" t="e">
        <f>BL22-#REF!</f>
        <v>#REF!</v>
      </c>
      <c r="BM63" s="38" t="e">
        <f>BM22-#REF!</f>
        <v>#REF!</v>
      </c>
      <c r="BN63" s="38" t="e">
        <f>BN22-#REF!</f>
        <v>#REF!</v>
      </c>
      <c r="BO63" s="38" t="e">
        <f>BO22-#REF!</f>
        <v>#REF!</v>
      </c>
      <c r="BP63" s="38" t="e">
        <f>BP22-#REF!</f>
        <v>#REF!</v>
      </c>
      <c r="BQ63" s="38" t="e">
        <f>BQ22-#REF!</f>
        <v>#REF!</v>
      </c>
      <c r="BR63" s="38" t="e">
        <f>BR22-#REF!</f>
        <v>#REF!</v>
      </c>
      <c r="BS63" s="38" t="e">
        <f>BS22-#REF!</f>
        <v>#REF!</v>
      </c>
      <c r="BT63" s="38" t="e">
        <f>BT22-#REF!</f>
        <v>#REF!</v>
      </c>
      <c r="BU63" s="38" t="e">
        <f>BU22-#REF!</f>
        <v>#REF!</v>
      </c>
    </row>
    <row r="64" spans="4:73" hidden="1" x14ac:dyDescent="0.2">
      <c r="M64" s="38" t="e">
        <f>M23-#REF!</f>
        <v>#REF!</v>
      </c>
      <c r="N64" s="38" t="e">
        <f>N23-#REF!</f>
        <v>#REF!</v>
      </c>
      <c r="O64" s="38" t="e">
        <f>O23-#REF!</f>
        <v>#REF!</v>
      </c>
      <c r="P64" s="38" t="e">
        <f>P23-#REF!</f>
        <v>#REF!</v>
      </c>
      <c r="Q64" s="38" t="e">
        <f>Q23-#REF!</f>
        <v>#REF!</v>
      </c>
      <c r="R64" s="38" t="e">
        <f>R23-#REF!</f>
        <v>#REF!</v>
      </c>
      <c r="S64" s="38" t="e">
        <f>S23-#REF!</f>
        <v>#REF!</v>
      </c>
      <c r="T64" s="38" t="e">
        <f>T23-#REF!</f>
        <v>#REF!</v>
      </c>
      <c r="U64" s="38" t="e">
        <f>U23-#REF!</f>
        <v>#REF!</v>
      </c>
      <c r="V64" s="38" t="e">
        <f>V23-#REF!</f>
        <v>#REF!</v>
      </c>
      <c r="W64" s="38" t="e">
        <f>W23-#REF!</f>
        <v>#REF!</v>
      </c>
      <c r="X64" s="38" t="e">
        <f>X23-#REF!</f>
        <v>#REF!</v>
      </c>
      <c r="Y64" s="38" t="e">
        <f>Y23-#REF!</f>
        <v>#REF!</v>
      </c>
      <c r="Z64" s="38" t="e">
        <f>Z23-#REF!</f>
        <v>#REF!</v>
      </c>
      <c r="AA64" s="38" t="e">
        <f>AA23-#REF!</f>
        <v>#REF!</v>
      </c>
      <c r="AB64" s="38" t="e">
        <f>AB23-#REF!</f>
        <v>#REF!</v>
      </c>
      <c r="AC64" s="38" t="e">
        <f>AC23-#REF!</f>
        <v>#REF!</v>
      </c>
      <c r="AD64" s="38" t="e">
        <f>AD23-#REF!</f>
        <v>#REF!</v>
      </c>
      <c r="AE64" s="38" t="e">
        <f>AE23-#REF!</f>
        <v>#REF!</v>
      </c>
      <c r="AF64" s="38" t="e">
        <f>AF23-#REF!</f>
        <v>#REF!</v>
      </c>
      <c r="AG64" s="38" t="e">
        <f>AG23-#REF!</f>
        <v>#REF!</v>
      </c>
      <c r="AH64" s="38" t="e">
        <f>AH23-#REF!</f>
        <v>#REF!</v>
      </c>
      <c r="AI64" s="38" t="e">
        <f>AI23-#REF!</f>
        <v>#REF!</v>
      </c>
      <c r="AJ64" s="38" t="e">
        <f>AJ23-#REF!</f>
        <v>#REF!</v>
      </c>
      <c r="AK64" s="38" t="e">
        <f>AK23-#REF!</f>
        <v>#REF!</v>
      </c>
      <c r="AL64" s="38" t="e">
        <f>AL23-#REF!</f>
        <v>#REF!</v>
      </c>
      <c r="AM64" s="38" t="e">
        <f>AM23-#REF!</f>
        <v>#REF!</v>
      </c>
      <c r="AN64" s="38" t="e">
        <f>AN23-#REF!</f>
        <v>#REF!</v>
      </c>
      <c r="AO64" s="38" t="e">
        <f>AO23-#REF!</f>
        <v>#REF!</v>
      </c>
      <c r="AP64" s="38" t="e">
        <f>AP23-#REF!</f>
        <v>#REF!</v>
      </c>
      <c r="AQ64" s="38" t="e">
        <f>AQ23-#REF!</f>
        <v>#REF!</v>
      </c>
      <c r="AR64" s="38" t="e">
        <f>AR23-#REF!</f>
        <v>#REF!</v>
      </c>
      <c r="AS64" s="38" t="e">
        <f>AS23-#REF!</f>
        <v>#REF!</v>
      </c>
      <c r="AT64" s="38" t="e">
        <f>AT23-#REF!</f>
        <v>#REF!</v>
      </c>
      <c r="AU64" s="38" t="e">
        <f>AU23-#REF!</f>
        <v>#REF!</v>
      </c>
      <c r="AV64" s="38" t="e">
        <f>AV23-#REF!</f>
        <v>#REF!</v>
      </c>
      <c r="AW64" s="38" t="e">
        <f>AW23-#REF!</f>
        <v>#REF!</v>
      </c>
      <c r="AX64" s="38" t="e">
        <f>AX23-#REF!</f>
        <v>#REF!</v>
      </c>
      <c r="AY64" s="38" t="e">
        <f>AY23-#REF!</f>
        <v>#REF!</v>
      </c>
      <c r="AZ64" s="38" t="e">
        <f>AZ23-#REF!</f>
        <v>#REF!</v>
      </c>
      <c r="BA64" s="38" t="e">
        <f>BA23-#REF!</f>
        <v>#REF!</v>
      </c>
      <c r="BB64" s="38" t="e">
        <f>BB23-#REF!</f>
        <v>#REF!</v>
      </c>
      <c r="BC64" s="38" t="e">
        <f>BC23-#REF!</f>
        <v>#REF!</v>
      </c>
      <c r="BD64" s="38" t="e">
        <f>BD23-#REF!</f>
        <v>#REF!</v>
      </c>
      <c r="BE64" s="38" t="e">
        <f>BE23-#REF!</f>
        <v>#REF!</v>
      </c>
      <c r="BF64" s="38" t="e">
        <f>BF23-#REF!</f>
        <v>#REF!</v>
      </c>
      <c r="BG64" s="38" t="e">
        <f>BG23-#REF!</f>
        <v>#REF!</v>
      </c>
      <c r="BH64" s="38" t="e">
        <f>BH23-#REF!</f>
        <v>#REF!</v>
      </c>
      <c r="BI64" s="38" t="e">
        <f>BI23-#REF!</f>
        <v>#REF!</v>
      </c>
      <c r="BJ64" s="38" t="e">
        <f>BJ23-#REF!</f>
        <v>#REF!</v>
      </c>
      <c r="BK64" s="38" t="e">
        <f>BK23-#REF!</f>
        <v>#REF!</v>
      </c>
      <c r="BL64" s="38" t="e">
        <f>BL23-#REF!</f>
        <v>#REF!</v>
      </c>
      <c r="BM64" s="38" t="e">
        <f>BM23-#REF!</f>
        <v>#REF!</v>
      </c>
      <c r="BN64" s="38" t="e">
        <f>BN23-#REF!</f>
        <v>#REF!</v>
      </c>
      <c r="BO64" s="38" t="e">
        <f>BO23-#REF!</f>
        <v>#REF!</v>
      </c>
      <c r="BP64" s="38" t="e">
        <f>BP23-#REF!</f>
        <v>#REF!</v>
      </c>
      <c r="BQ64" s="38" t="e">
        <f>BQ23-#REF!</f>
        <v>#REF!</v>
      </c>
      <c r="BR64" s="38" t="e">
        <f>BR23-#REF!</f>
        <v>#REF!</v>
      </c>
      <c r="BS64" s="38" t="e">
        <f>BS23-#REF!</f>
        <v>#REF!</v>
      </c>
      <c r="BT64" s="38" t="e">
        <f>BT23-#REF!</f>
        <v>#REF!</v>
      </c>
      <c r="BU64" s="38" t="e">
        <f>BU23-#REF!</f>
        <v>#REF!</v>
      </c>
    </row>
    <row r="65" spans="13:73" hidden="1" x14ac:dyDescent="0.2">
      <c r="M65" s="38" t="e">
        <f>M24-#REF!</f>
        <v>#REF!</v>
      </c>
      <c r="N65" s="38" t="e">
        <f>N24-#REF!</f>
        <v>#REF!</v>
      </c>
      <c r="O65" s="38" t="e">
        <f>O24-#REF!</f>
        <v>#REF!</v>
      </c>
      <c r="P65" s="38" t="e">
        <f>P24-#REF!</f>
        <v>#REF!</v>
      </c>
      <c r="Q65" s="38" t="e">
        <f>Q24-#REF!</f>
        <v>#REF!</v>
      </c>
      <c r="R65" s="38" t="e">
        <f>R24-#REF!</f>
        <v>#REF!</v>
      </c>
      <c r="S65" s="38" t="e">
        <f>S24-#REF!</f>
        <v>#REF!</v>
      </c>
      <c r="T65" s="38" t="e">
        <f>T24-#REF!</f>
        <v>#REF!</v>
      </c>
      <c r="U65" s="38" t="e">
        <f>U24-#REF!</f>
        <v>#REF!</v>
      </c>
      <c r="V65" s="38" t="e">
        <f>V24-#REF!</f>
        <v>#REF!</v>
      </c>
      <c r="W65" s="38" t="e">
        <f>W24-#REF!</f>
        <v>#REF!</v>
      </c>
      <c r="X65" s="38" t="e">
        <f>X24-#REF!</f>
        <v>#REF!</v>
      </c>
      <c r="Y65" s="38" t="e">
        <f>Y24-#REF!</f>
        <v>#REF!</v>
      </c>
      <c r="Z65" s="38" t="e">
        <f>Z24-#REF!</f>
        <v>#REF!</v>
      </c>
      <c r="AA65" s="38" t="e">
        <f>AA24-#REF!</f>
        <v>#REF!</v>
      </c>
      <c r="AB65" s="38" t="e">
        <f>AB24-#REF!</f>
        <v>#REF!</v>
      </c>
      <c r="AC65" s="38" t="e">
        <f>AC24-#REF!</f>
        <v>#REF!</v>
      </c>
      <c r="AD65" s="38" t="e">
        <f>AD24-#REF!</f>
        <v>#REF!</v>
      </c>
      <c r="AE65" s="38" t="e">
        <f>AE24-#REF!</f>
        <v>#REF!</v>
      </c>
      <c r="AF65" s="38" t="e">
        <f>AF24-#REF!</f>
        <v>#REF!</v>
      </c>
      <c r="AG65" s="38" t="e">
        <f>AG24-#REF!</f>
        <v>#REF!</v>
      </c>
      <c r="AH65" s="38" t="e">
        <f>AH24-#REF!</f>
        <v>#REF!</v>
      </c>
      <c r="AI65" s="38" t="e">
        <f>AI24-#REF!</f>
        <v>#REF!</v>
      </c>
      <c r="AJ65" s="38" t="e">
        <f>AJ24-#REF!</f>
        <v>#REF!</v>
      </c>
      <c r="AK65" s="38" t="e">
        <f>AK24-#REF!</f>
        <v>#REF!</v>
      </c>
      <c r="AL65" s="38" t="e">
        <f>AL24-#REF!</f>
        <v>#REF!</v>
      </c>
      <c r="AM65" s="38" t="e">
        <f>AM24-#REF!</f>
        <v>#REF!</v>
      </c>
      <c r="AN65" s="38" t="e">
        <f>AN24-#REF!</f>
        <v>#REF!</v>
      </c>
      <c r="AO65" s="38" t="e">
        <f>AO24-#REF!</f>
        <v>#REF!</v>
      </c>
      <c r="AP65" s="38" t="e">
        <f>AP24-#REF!</f>
        <v>#REF!</v>
      </c>
      <c r="AQ65" s="38" t="e">
        <f>AQ24-#REF!</f>
        <v>#REF!</v>
      </c>
      <c r="AR65" s="38" t="e">
        <f>AR24-#REF!</f>
        <v>#REF!</v>
      </c>
      <c r="AS65" s="38" t="e">
        <f>AS24-#REF!</f>
        <v>#REF!</v>
      </c>
      <c r="AT65" s="38" t="e">
        <f>AT24-#REF!</f>
        <v>#REF!</v>
      </c>
      <c r="AU65" s="38" t="e">
        <f>AU24-#REF!</f>
        <v>#REF!</v>
      </c>
      <c r="AV65" s="38" t="e">
        <f>AV24-#REF!</f>
        <v>#REF!</v>
      </c>
      <c r="AW65" s="38" t="e">
        <f>AW24-#REF!</f>
        <v>#REF!</v>
      </c>
      <c r="AX65" s="38" t="e">
        <f>AX24-#REF!</f>
        <v>#REF!</v>
      </c>
      <c r="AY65" s="38" t="e">
        <f>AY24-#REF!</f>
        <v>#REF!</v>
      </c>
      <c r="AZ65" s="38" t="e">
        <f>AZ24-#REF!</f>
        <v>#REF!</v>
      </c>
      <c r="BA65" s="38" t="e">
        <f>BA24-#REF!</f>
        <v>#REF!</v>
      </c>
      <c r="BB65" s="38" t="e">
        <f>BB24-#REF!</f>
        <v>#REF!</v>
      </c>
      <c r="BC65" s="38" t="e">
        <f>BC24-#REF!</f>
        <v>#REF!</v>
      </c>
      <c r="BD65" s="38" t="e">
        <f>BD24-#REF!</f>
        <v>#REF!</v>
      </c>
      <c r="BE65" s="38" t="e">
        <f>BE24-#REF!</f>
        <v>#REF!</v>
      </c>
      <c r="BF65" s="38" t="e">
        <f>BF24-#REF!</f>
        <v>#REF!</v>
      </c>
      <c r="BG65" s="38" t="e">
        <f>BG24-#REF!</f>
        <v>#REF!</v>
      </c>
      <c r="BH65" s="38" t="e">
        <f>BH24-#REF!</f>
        <v>#REF!</v>
      </c>
      <c r="BI65" s="38" t="e">
        <f>BI24-#REF!</f>
        <v>#REF!</v>
      </c>
      <c r="BJ65" s="38" t="e">
        <f>BJ24-#REF!</f>
        <v>#REF!</v>
      </c>
      <c r="BK65" s="38" t="e">
        <f>BK24-#REF!</f>
        <v>#REF!</v>
      </c>
      <c r="BL65" s="38" t="e">
        <f>BL24-#REF!</f>
        <v>#REF!</v>
      </c>
      <c r="BM65" s="38" t="e">
        <f>BM24-#REF!</f>
        <v>#REF!</v>
      </c>
      <c r="BN65" s="38" t="e">
        <f>BN24-#REF!</f>
        <v>#REF!</v>
      </c>
      <c r="BO65" s="38" t="e">
        <f>BO24-#REF!</f>
        <v>#REF!</v>
      </c>
      <c r="BP65" s="38" t="e">
        <f>BP24-#REF!</f>
        <v>#REF!</v>
      </c>
      <c r="BQ65" s="38" t="e">
        <f>BQ24-#REF!</f>
        <v>#REF!</v>
      </c>
      <c r="BR65" s="38" t="e">
        <f>BR24-#REF!</f>
        <v>#REF!</v>
      </c>
      <c r="BS65" s="38" t="e">
        <f>BS24-#REF!</f>
        <v>#REF!</v>
      </c>
      <c r="BT65" s="38" t="e">
        <f>BT24-#REF!</f>
        <v>#REF!</v>
      </c>
      <c r="BU65" s="38" t="e">
        <f>BU24-#REF!</f>
        <v>#REF!</v>
      </c>
    </row>
    <row r="66" spans="13:73" hidden="1" x14ac:dyDescent="0.2">
      <c r="M66" s="38" t="e">
        <f>M25-#REF!</f>
        <v>#REF!</v>
      </c>
      <c r="N66" s="38" t="e">
        <f>N25-#REF!</f>
        <v>#REF!</v>
      </c>
      <c r="O66" s="38" t="e">
        <f>O25-#REF!</f>
        <v>#REF!</v>
      </c>
      <c r="P66" s="38" t="e">
        <f>P25-#REF!</f>
        <v>#REF!</v>
      </c>
      <c r="Q66" s="38" t="e">
        <f>Q25-#REF!</f>
        <v>#REF!</v>
      </c>
      <c r="R66" s="38" t="e">
        <f>R25-#REF!</f>
        <v>#REF!</v>
      </c>
      <c r="S66" s="38" t="e">
        <f>S25-#REF!</f>
        <v>#REF!</v>
      </c>
      <c r="T66" s="38" t="e">
        <f>T25-#REF!</f>
        <v>#REF!</v>
      </c>
      <c r="U66" s="38" t="e">
        <f>U25-#REF!</f>
        <v>#REF!</v>
      </c>
      <c r="V66" s="38" t="e">
        <f>V25-#REF!</f>
        <v>#REF!</v>
      </c>
      <c r="W66" s="38" t="e">
        <f>W25-#REF!</f>
        <v>#REF!</v>
      </c>
      <c r="X66" s="38" t="e">
        <f>X25-#REF!</f>
        <v>#REF!</v>
      </c>
      <c r="Y66" s="38" t="e">
        <f>Y25-#REF!</f>
        <v>#REF!</v>
      </c>
      <c r="Z66" s="38" t="e">
        <f>Z25-#REF!</f>
        <v>#REF!</v>
      </c>
      <c r="AA66" s="38" t="e">
        <f>AA25-#REF!</f>
        <v>#REF!</v>
      </c>
      <c r="AB66" s="38" t="e">
        <f>AB25-#REF!</f>
        <v>#REF!</v>
      </c>
      <c r="AC66" s="38" t="e">
        <f>AC25-#REF!</f>
        <v>#REF!</v>
      </c>
      <c r="AD66" s="38" t="e">
        <f>AD25-#REF!</f>
        <v>#REF!</v>
      </c>
      <c r="AE66" s="38" t="e">
        <f>AE25-#REF!</f>
        <v>#REF!</v>
      </c>
      <c r="AF66" s="38" t="e">
        <f>AF25-#REF!</f>
        <v>#REF!</v>
      </c>
      <c r="AG66" s="38" t="e">
        <f>AG25-#REF!</f>
        <v>#REF!</v>
      </c>
      <c r="AH66" s="38" t="e">
        <f>AH25-#REF!</f>
        <v>#REF!</v>
      </c>
      <c r="AI66" s="38" t="e">
        <f>AI25-#REF!</f>
        <v>#REF!</v>
      </c>
      <c r="AJ66" s="38" t="e">
        <f>AJ25-#REF!</f>
        <v>#REF!</v>
      </c>
      <c r="AK66" s="38" t="e">
        <f>AK25-#REF!</f>
        <v>#REF!</v>
      </c>
      <c r="AL66" s="38" t="e">
        <f>AL25-#REF!</f>
        <v>#REF!</v>
      </c>
      <c r="AM66" s="38" t="e">
        <f>AM25-#REF!</f>
        <v>#REF!</v>
      </c>
      <c r="AN66" s="38" t="e">
        <f>AN25-#REF!</f>
        <v>#REF!</v>
      </c>
      <c r="AO66" s="38" t="e">
        <f>AO25-#REF!</f>
        <v>#REF!</v>
      </c>
      <c r="AP66" s="38" t="e">
        <f>AP25-#REF!</f>
        <v>#REF!</v>
      </c>
      <c r="AQ66" s="38" t="e">
        <f>AQ25-#REF!</f>
        <v>#REF!</v>
      </c>
      <c r="AR66" s="38" t="e">
        <f>AR25-#REF!</f>
        <v>#REF!</v>
      </c>
      <c r="AS66" s="38" t="e">
        <f>AS25-#REF!</f>
        <v>#REF!</v>
      </c>
      <c r="AT66" s="38" t="e">
        <f>AT25-#REF!</f>
        <v>#REF!</v>
      </c>
      <c r="AU66" s="38" t="e">
        <f>AU25-#REF!</f>
        <v>#REF!</v>
      </c>
      <c r="AV66" s="38" t="e">
        <f>AV25-#REF!</f>
        <v>#REF!</v>
      </c>
      <c r="AW66" s="38" t="e">
        <f>AW25-#REF!</f>
        <v>#REF!</v>
      </c>
      <c r="AX66" s="38" t="e">
        <f>AX25-#REF!</f>
        <v>#REF!</v>
      </c>
      <c r="AY66" s="38" t="e">
        <f>AY25-#REF!</f>
        <v>#REF!</v>
      </c>
      <c r="AZ66" s="38" t="e">
        <f>AZ25-#REF!</f>
        <v>#REF!</v>
      </c>
      <c r="BA66" s="38" t="e">
        <f>BA25-#REF!</f>
        <v>#REF!</v>
      </c>
      <c r="BB66" s="38" t="e">
        <f>BB25-#REF!</f>
        <v>#REF!</v>
      </c>
      <c r="BC66" s="38" t="e">
        <f>BC25-#REF!</f>
        <v>#REF!</v>
      </c>
      <c r="BD66" s="38" t="e">
        <f>BD25-#REF!</f>
        <v>#REF!</v>
      </c>
      <c r="BE66" s="38" t="e">
        <f>BE25-#REF!</f>
        <v>#REF!</v>
      </c>
      <c r="BF66" s="38" t="e">
        <f>BF25-#REF!</f>
        <v>#REF!</v>
      </c>
      <c r="BG66" s="38" t="e">
        <f>BG25-#REF!</f>
        <v>#REF!</v>
      </c>
      <c r="BH66" s="38" t="e">
        <f>BH25-#REF!</f>
        <v>#REF!</v>
      </c>
      <c r="BI66" s="38" t="e">
        <f>BI25-#REF!</f>
        <v>#REF!</v>
      </c>
      <c r="BJ66" s="38" t="e">
        <f>BJ25-#REF!</f>
        <v>#REF!</v>
      </c>
      <c r="BK66" s="38" t="e">
        <f>BK25-#REF!</f>
        <v>#REF!</v>
      </c>
      <c r="BL66" s="38" t="e">
        <f>BL25-#REF!</f>
        <v>#REF!</v>
      </c>
      <c r="BM66" s="38" t="e">
        <f>BM25-#REF!</f>
        <v>#REF!</v>
      </c>
      <c r="BN66" s="38" t="e">
        <f>BN25-#REF!</f>
        <v>#REF!</v>
      </c>
      <c r="BO66" s="38" t="e">
        <f>BO25-#REF!</f>
        <v>#REF!</v>
      </c>
      <c r="BP66" s="38" t="e">
        <f>BP25-#REF!</f>
        <v>#REF!</v>
      </c>
      <c r="BQ66" s="38" t="e">
        <f>BQ25-#REF!</f>
        <v>#REF!</v>
      </c>
      <c r="BR66" s="38" t="e">
        <f>BR25-#REF!</f>
        <v>#REF!</v>
      </c>
      <c r="BS66" s="38" t="e">
        <f>BS25-#REF!</f>
        <v>#REF!</v>
      </c>
      <c r="BT66" s="38" t="e">
        <f>BT25-#REF!</f>
        <v>#REF!</v>
      </c>
      <c r="BU66" s="38" t="e">
        <f>BU25-#REF!</f>
        <v>#REF!</v>
      </c>
    </row>
    <row r="67" spans="13:73" hidden="1" x14ac:dyDescent="0.2">
      <c r="M67" s="38" t="e">
        <f>M26-#REF!</f>
        <v>#REF!</v>
      </c>
      <c r="N67" s="38" t="e">
        <f>N26-#REF!</f>
        <v>#REF!</v>
      </c>
      <c r="O67" s="38" t="e">
        <f>O26-#REF!</f>
        <v>#REF!</v>
      </c>
      <c r="P67" s="38" t="e">
        <f>P26-#REF!</f>
        <v>#REF!</v>
      </c>
      <c r="Q67" s="38" t="e">
        <f>Q26-#REF!</f>
        <v>#REF!</v>
      </c>
      <c r="R67" s="38" t="e">
        <f>R26-#REF!</f>
        <v>#REF!</v>
      </c>
      <c r="S67" s="38" t="e">
        <f>S26-#REF!</f>
        <v>#REF!</v>
      </c>
      <c r="T67" s="38" t="e">
        <f>T26-#REF!</f>
        <v>#REF!</v>
      </c>
      <c r="U67" s="38" t="e">
        <f>U26-#REF!</f>
        <v>#REF!</v>
      </c>
      <c r="V67" s="38" t="e">
        <f>V26-#REF!</f>
        <v>#REF!</v>
      </c>
      <c r="W67" s="38" t="e">
        <f>W26-#REF!</f>
        <v>#REF!</v>
      </c>
      <c r="X67" s="38" t="e">
        <f>X26-#REF!</f>
        <v>#REF!</v>
      </c>
      <c r="Y67" s="38" t="e">
        <f>Y26-#REF!</f>
        <v>#REF!</v>
      </c>
      <c r="Z67" s="38" t="e">
        <f>Z26-#REF!</f>
        <v>#REF!</v>
      </c>
      <c r="AA67" s="38" t="e">
        <f>AA26-#REF!</f>
        <v>#REF!</v>
      </c>
      <c r="AB67" s="38" t="e">
        <f>AB26-#REF!</f>
        <v>#REF!</v>
      </c>
      <c r="AC67" s="38" t="e">
        <f>AC26-#REF!</f>
        <v>#REF!</v>
      </c>
      <c r="AD67" s="38" t="e">
        <f>AD26-#REF!</f>
        <v>#REF!</v>
      </c>
      <c r="AE67" s="38" t="e">
        <f>AE26-#REF!</f>
        <v>#REF!</v>
      </c>
      <c r="AF67" s="38" t="e">
        <f>AF26-#REF!</f>
        <v>#REF!</v>
      </c>
      <c r="AG67" s="38" t="e">
        <f>AG26-#REF!</f>
        <v>#REF!</v>
      </c>
      <c r="AH67" s="38" t="e">
        <f>AH26-#REF!</f>
        <v>#REF!</v>
      </c>
      <c r="AI67" s="38" t="e">
        <f>AI26-#REF!</f>
        <v>#REF!</v>
      </c>
      <c r="AJ67" s="38" t="e">
        <f>AJ26-#REF!</f>
        <v>#REF!</v>
      </c>
      <c r="AK67" s="38" t="e">
        <f>AK26-#REF!</f>
        <v>#REF!</v>
      </c>
      <c r="AL67" s="38" t="e">
        <f>AL26-#REF!</f>
        <v>#REF!</v>
      </c>
      <c r="AM67" s="38" t="e">
        <f>AM26-#REF!</f>
        <v>#REF!</v>
      </c>
      <c r="AN67" s="38" t="e">
        <f>AN26-#REF!</f>
        <v>#REF!</v>
      </c>
      <c r="AO67" s="38" t="e">
        <f>AO26-#REF!</f>
        <v>#REF!</v>
      </c>
      <c r="AP67" s="38" t="e">
        <f>AP26-#REF!</f>
        <v>#REF!</v>
      </c>
      <c r="AQ67" s="38" t="e">
        <f>AQ26-#REF!</f>
        <v>#REF!</v>
      </c>
      <c r="AR67" s="38" t="e">
        <f>AR26-#REF!</f>
        <v>#REF!</v>
      </c>
      <c r="AS67" s="38" t="e">
        <f>AS26-#REF!</f>
        <v>#REF!</v>
      </c>
      <c r="AT67" s="38" t="e">
        <f>AT26-#REF!</f>
        <v>#REF!</v>
      </c>
      <c r="AU67" s="38" t="e">
        <f>AU26-#REF!</f>
        <v>#REF!</v>
      </c>
      <c r="AV67" s="38" t="e">
        <f>AV26-#REF!</f>
        <v>#REF!</v>
      </c>
      <c r="AW67" s="38" t="e">
        <f>AW26-#REF!</f>
        <v>#REF!</v>
      </c>
      <c r="AX67" s="38" t="e">
        <f>AX26-#REF!</f>
        <v>#REF!</v>
      </c>
      <c r="AY67" s="38" t="e">
        <f>AY26-#REF!</f>
        <v>#REF!</v>
      </c>
      <c r="AZ67" s="38" t="e">
        <f>AZ26-#REF!</f>
        <v>#REF!</v>
      </c>
      <c r="BA67" s="38" t="e">
        <f>BA26-#REF!</f>
        <v>#REF!</v>
      </c>
      <c r="BB67" s="38" t="e">
        <f>BB26-#REF!</f>
        <v>#REF!</v>
      </c>
      <c r="BC67" s="38" t="e">
        <f>BC26-#REF!</f>
        <v>#REF!</v>
      </c>
      <c r="BD67" s="38" t="e">
        <f>BD26-#REF!</f>
        <v>#REF!</v>
      </c>
      <c r="BE67" s="38" t="e">
        <f>BE26-#REF!</f>
        <v>#REF!</v>
      </c>
      <c r="BF67" s="38" t="e">
        <f>BF26-#REF!</f>
        <v>#REF!</v>
      </c>
      <c r="BG67" s="38" t="e">
        <f>BG26-#REF!</f>
        <v>#REF!</v>
      </c>
      <c r="BH67" s="38" t="e">
        <f>BH26-#REF!</f>
        <v>#REF!</v>
      </c>
      <c r="BI67" s="38" t="e">
        <f>BI26-#REF!</f>
        <v>#REF!</v>
      </c>
      <c r="BJ67" s="38" t="e">
        <f>BJ26-#REF!</f>
        <v>#REF!</v>
      </c>
      <c r="BK67" s="38" t="e">
        <f>BK26-#REF!</f>
        <v>#REF!</v>
      </c>
      <c r="BL67" s="38" t="e">
        <f>BL26-#REF!</f>
        <v>#REF!</v>
      </c>
      <c r="BM67" s="38" t="e">
        <f>BM26-#REF!</f>
        <v>#REF!</v>
      </c>
      <c r="BN67" s="38" t="e">
        <f>BN26-#REF!</f>
        <v>#REF!</v>
      </c>
      <c r="BO67" s="38" t="e">
        <f>BO26-#REF!</f>
        <v>#REF!</v>
      </c>
      <c r="BP67" s="38" t="e">
        <f>BP26-#REF!</f>
        <v>#REF!</v>
      </c>
      <c r="BQ67" s="38" t="e">
        <f>BQ26-#REF!</f>
        <v>#REF!</v>
      </c>
      <c r="BR67" s="38" t="e">
        <f>BR26-#REF!</f>
        <v>#REF!</v>
      </c>
      <c r="BS67" s="38" t="e">
        <f>BS26-#REF!</f>
        <v>#REF!</v>
      </c>
      <c r="BT67" s="38" t="e">
        <f>BT26-#REF!</f>
        <v>#REF!</v>
      </c>
      <c r="BU67" s="38" t="e">
        <f>BU26-#REF!</f>
        <v>#REF!</v>
      </c>
    </row>
    <row r="68" spans="13:73" hidden="1" x14ac:dyDescent="0.2">
      <c r="M68" s="38" t="e">
        <f>M27-#REF!</f>
        <v>#REF!</v>
      </c>
      <c r="N68" s="38" t="e">
        <f>N27-#REF!</f>
        <v>#REF!</v>
      </c>
      <c r="O68" s="38" t="e">
        <f>O27-#REF!</f>
        <v>#REF!</v>
      </c>
      <c r="P68" s="38" t="e">
        <f>P27-#REF!</f>
        <v>#REF!</v>
      </c>
      <c r="Q68" s="38" t="e">
        <f>Q27-#REF!</f>
        <v>#REF!</v>
      </c>
      <c r="R68" s="38" t="e">
        <f>R27-#REF!</f>
        <v>#REF!</v>
      </c>
      <c r="S68" s="38" t="e">
        <f>S27-#REF!</f>
        <v>#REF!</v>
      </c>
      <c r="T68" s="38" t="e">
        <f>T27-#REF!</f>
        <v>#REF!</v>
      </c>
      <c r="U68" s="38" t="e">
        <f>U27-#REF!</f>
        <v>#REF!</v>
      </c>
      <c r="V68" s="38" t="e">
        <f>V27-#REF!</f>
        <v>#REF!</v>
      </c>
      <c r="W68" s="38" t="e">
        <f>W27-#REF!</f>
        <v>#REF!</v>
      </c>
      <c r="X68" s="38" t="e">
        <f>X27-#REF!</f>
        <v>#REF!</v>
      </c>
      <c r="Y68" s="38" t="e">
        <f>Y27-#REF!</f>
        <v>#REF!</v>
      </c>
      <c r="Z68" s="38" t="e">
        <f>Z27-#REF!</f>
        <v>#REF!</v>
      </c>
      <c r="AA68" s="38" t="e">
        <f>AA27-#REF!</f>
        <v>#REF!</v>
      </c>
      <c r="AB68" s="38" t="e">
        <f>AB27-#REF!</f>
        <v>#REF!</v>
      </c>
      <c r="AC68" s="38" t="e">
        <f>AC27-#REF!</f>
        <v>#REF!</v>
      </c>
      <c r="AD68" s="38" t="e">
        <f>AD27-#REF!</f>
        <v>#REF!</v>
      </c>
      <c r="AE68" s="38" t="e">
        <f>AE27-#REF!</f>
        <v>#REF!</v>
      </c>
      <c r="AF68" s="38" t="e">
        <f>AF27-#REF!</f>
        <v>#REF!</v>
      </c>
      <c r="AG68" s="38" t="e">
        <f>AG27-#REF!</f>
        <v>#REF!</v>
      </c>
      <c r="AH68" s="38" t="e">
        <f>AH27-#REF!</f>
        <v>#REF!</v>
      </c>
      <c r="AI68" s="38" t="e">
        <f>AI27-#REF!</f>
        <v>#REF!</v>
      </c>
      <c r="AJ68" s="38" t="e">
        <f>AJ27-#REF!</f>
        <v>#REF!</v>
      </c>
      <c r="AK68" s="38" t="e">
        <f>AK27-#REF!</f>
        <v>#REF!</v>
      </c>
      <c r="AL68" s="38" t="e">
        <f>AL27-#REF!</f>
        <v>#REF!</v>
      </c>
      <c r="AM68" s="38" t="e">
        <f>AM27-#REF!</f>
        <v>#REF!</v>
      </c>
      <c r="AN68" s="38" t="e">
        <f>AN27-#REF!</f>
        <v>#REF!</v>
      </c>
      <c r="AO68" s="38" t="e">
        <f>AO27-#REF!</f>
        <v>#REF!</v>
      </c>
      <c r="AP68" s="38" t="e">
        <f>AP27-#REF!</f>
        <v>#REF!</v>
      </c>
      <c r="AQ68" s="38" t="e">
        <f>AQ27-#REF!</f>
        <v>#REF!</v>
      </c>
      <c r="AR68" s="38" t="e">
        <f>AR27-#REF!</f>
        <v>#REF!</v>
      </c>
      <c r="AS68" s="38" t="e">
        <f>AS27-#REF!</f>
        <v>#REF!</v>
      </c>
      <c r="AT68" s="38" t="e">
        <f>AT27-#REF!</f>
        <v>#REF!</v>
      </c>
      <c r="AU68" s="38" t="e">
        <f>AU27-#REF!</f>
        <v>#REF!</v>
      </c>
      <c r="AV68" s="38" t="e">
        <f>AV27-#REF!</f>
        <v>#REF!</v>
      </c>
      <c r="AW68" s="38" t="e">
        <f>AW27-#REF!</f>
        <v>#REF!</v>
      </c>
      <c r="AX68" s="38" t="e">
        <f>AX27-#REF!</f>
        <v>#REF!</v>
      </c>
      <c r="AY68" s="38" t="e">
        <f>AY27-#REF!</f>
        <v>#REF!</v>
      </c>
      <c r="AZ68" s="38" t="e">
        <f>AZ27-#REF!</f>
        <v>#REF!</v>
      </c>
      <c r="BA68" s="38" t="e">
        <f>BA27-#REF!</f>
        <v>#REF!</v>
      </c>
      <c r="BB68" s="38" t="e">
        <f>BB27-#REF!</f>
        <v>#REF!</v>
      </c>
      <c r="BC68" s="38" t="e">
        <f>BC27-#REF!</f>
        <v>#REF!</v>
      </c>
      <c r="BD68" s="38" t="e">
        <f>BD27-#REF!</f>
        <v>#REF!</v>
      </c>
      <c r="BE68" s="38" t="e">
        <f>BE27-#REF!</f>
        <v>#REF!</v>
      </c>
      <c r="BF68" s="38" t="e">
        <f>BF27-#REF!</f>
        <v>#REF!</v>
      </c>
      <c r="BG68" s="38" t="e">
        <f>BG27-#REF!</f>
        <v>#REF!</v>
      </c>
      <c r="BH68" s="38" t="e">
        <f>BH27-#REF!</f>
        <v>#REF!</v>
      </c>
      <c r="BI68" s="38" t="e">
        <f>BI27-#REF!</f>
        <v>#REF!</v>
      </c>
      <c r="BJ68" s="38" t="e">
        <f>BJ27-#REF!</f>
        <v>#REF!</v>
      </c>
      <c r="BK68" s="38" t="e">
        <f>BK27-#REF!</f>
        <v>#REF!</v>
      </c>
      <c r="BL68" s="38" t="e">
        <f>BL27-#REF!</f>
        <v>#REF!</v>
      </c>
      <c r="BM68" s="38" t="e">
        <f>BM27-#REF!</f>
        <v>#REF!</v>
      </c>
      <c r="BN68" s="38" t="e">
        <f>BN27-#REF!</f>
        <v>#REF!</v>
      </c>
      <c r="BO68" s="38" t="e">
        <f>BO27-#REF!</f>
        <v>#REF!</v>
      </c>
      <c r="BP68" s="38" t="e">
        <f>BP27-#REF!</f>
        <v>#REF!</v>
      </c>
      <c r="BQ68" s="38" t="e">
        <f>BQ27-#REF!</f>
        <v>#REF!</v>
      </c>
      <c r="BR68" s="38" t="e">
        <f>BR27-#REF!</f>
        <v>#REF!</v>
      </c>
      <c r="BS68" s="38" t="e">
        <f>BS27-#REF!</f>
        <v>#REF!</v>
      </c>
      <c r="BT68" s="38" t="e">
        <f>BT27-#REF!</f>
        <v>#REF!</v>
      </c>
      <c r="BU68" s="38" t="e">
        <f>BU27-#REF!</f>
        <v>#REF!</v>
      </c>
    </row>
    <row r="69" spans="13:73" hidden="1" x14ac:dyDescent="0.2">
      <c r="M69" s="38" t="e">
        <f>M28-#REF!</f>
        <v>#REF!</v>
      </c>
      <c r="N69" s="38" t="e">
        <f>N28-#REF!</f>
        <v>#REF!</v>
      </c>
      <c r="O69" s="38" t="e">
        <f>O28-#REF!</f>
        <v>#REF!</v>
      </c>
      <c r="P69" s="38" t="e">
        <f>P28-#REF!</f>
        <v>#REF!</v>
      </c>
      <c r="Q69" s="38" t="e">
        <f>Q28-#REF!</f>
        <v>#REF!</v>
      </c>
      <c r="R69" s="38" t="e">
        <f>R28-#REF!</f>
        <v>#REF!</v>
      </c>
      <c r="S69" s="38" t="e">
        <f>S28-#REF!</f>
        <v>#REF!</v>
      </c>
      <c r="T69" s="38" t="e">
        <f>T28-#REF!</f>
        <v>#REF!</v>
      </c>
      <c r="U69" s="38" t="e">
        <f>U28-#REF!</f>
        <v>#REF!</v>
      </c>
      <c r="V69" s="38" t="e">
        <f>V28-#REF!</f>
        <v>#REF!</v>
      </c>
      <c r="W69" s="38" t="e">
        <f>W28-#REF!</f>
        <v>#REF!</v>
      </c>
      <c r="X69" s="38" t="e">
        <f>X28-#REF!</f>
        <v>#REF!</v>
      </c>
      <c r="Y69" s="38" t="e">
        <f>Y28-#REF!</f>
        <v>#REF!</v>
      </c>
      <c r="Z69" s="38" t="e">
        <f>Z28-#REF!</f>
        <v>#REF!</v>
      </c>
      <c r="AA69" s="38" t="e">
        <f>AA28-#REF!</f>
        <v>#REF!</v>
      </c>
      <c r="AB69" s="38" t="e">
        <f>AB28-#REF!</f>
        <v>#REF!</v>
      </c>
      <c r="AC69" s="38" t="e">
        <f>AC28-#REF!</f>
        <v>#REF!</v>
      </c>
      <c r="AD69" s="38" t="e">
        <f>AD28-#REF!</f>
        <v>#REF!</v>
      </c>
      <c r="AE69" s="38" t="e">
        <f>AE28-#REF!</f>
        <v>#REF!</v>
      </c>
      <c r="AF69" s="38" t="e">
        <f>AF28-#REF!</f>
        <v>#REF!</v>
      </c>
      <c r="AG69" s="38" t="e">
        <f>AG28-#REF!</f>
        <v>#REF!</v>
      </c>
      <c r="AH69" s="38" t="e">
        <f>AH28-#REF!</f>
        <v>#REF!</v>
      </c>
      <c r="AI69" s="38" t="e">
        <f>AI28-#REF!</f>
        <v>#REF!</v>
      </c>
      <c r="AJ69" s="38" t="e">
        <f>AJ28-#REF!</f>
        <v>#REF!</v>
      </c>
      <c r="AK69" s="38" t="e">
        <f>AK28-#REF!</f>
        <v>#REF!</v>
      </c>
      <c r="AL69" s="38" t="e">
        <f>AL28-#REF!</f>
        <v>#REF!</v>
      </c>
      <c r="AM69" s="38" t="e">
        <f>AM28-#REF!</f>
        <v>#REF!</v>
      </c>
      <c r="AN69" s="38" t="e">
        <f>AN28-#REF!</f>
        <v>#REF!</v>
      </c>
      <c r="AO69" s="38" t="e">
        <f>AO28-#REF!</f>
        <v>#REF!</v>
      </c>
      <c r="AP69" s="38" t="e">
        <f>AP28-#REF!</f>
        <v>#REF!</v>
      </c>
      <c r="AQ69" s="38" t="e">
        <f>AQ28-#REF!</f>
        <v>#REF!</v>
      </c>
      <c r="AR69" s="38" t="e">
        <f>AR28-#REF!</f>
        <v>#REF!</v>
      </c>
      <c r="AS69" s="38" t="e">
        <f>AS28-#REF!</f>
        <v>#REF!</v>
      </c>
      <c r="AT69" s="38" t="e">
        <f>AT28-#REF!</f>
        <v>#REF!</v>
      </c>
      <c r="AU69" s="38" t="e">
        <f>AU28-#REF!</f>
        <v>#REF!</v>
      </c>
      <c r="AV69" s="38" t="e">
        <f>AV28-#REF!</f>
        <v>#REF!</v>
      </c>
      <c r="AW69" s="38" t="e">
        <f>AW28-#REF!</f>
        <v>#REF!</v>
      </c>
      <c r="AX69" s="38" t="e">
        <f>AX28-#REF!</f>
        <v>#REF!</v>
      </c>
      <c r="AY69" s="38" t="e">
        <f>AY28-#REF!</f>
        <v>#REF!</v>
      </c>
      <c r="AZ69" s="38" t="e">
        <f>AZ28-#REF!</f>
        <v>#REF!</v>
      </c>
      <c r="BA69" s="38" t="e">
        <f>BA28-#REF!</f>
        <v>#REF!</v>
      </c>
      <c r="BB69" s="38" t="e">
        <f>BB28-#REF!</f>
        <v>#REF!</v>
      </c>
      <c r="BC69" s="38" t="e">
        <f>BC28-#REF!</f>
        <v>#REF!</v>
      </c>
      <c r="BD69" s="38" t="e">
        <f>BD28-#REF!</f>
        <v>#REF!</v>
      </c>
      <c r="BE69" s="38" t="e">
        <f>BE28-#REF!</f>
        <v>#REF!</v>
      </c>
      <c r="BF69" s="38" t="e">
        <f>BF28-#REF!</f>
        <v>#REF!</v>
      </c>
      <c r="BG69" s="38" t="e">
        <f>BG28-#REF!</f>
        <v>#REF!</v>
      </c>
      <c r="BH69" s="38" t="e">
        <f>BH28-#REF!</f>
        <v>#REF!</v>
      </c>
      <c r="BI69" s="38" t="e">
        <f>BI28-#REF!</f>
        <v>#REF!</v>
      </c>
      <c r="BJ69" s="38" t="e">
        <f>BJ28-#REF!</f>
        <v>#REF!</v>
      </c>
      <c r="BK69" s="38" t="e">
        <f>BK28-#REF!</f>
        <v>#REF!</v>
      </c>
      <c r="BL69" s="38" t="e">
        <f>BL28-#REF!</f>
        <v>#REF!</v>
      </c>
      <c r="BM69" s="38" t="e">
        <f>BM28-#REF!</f>
        <v>#REF!</v>
      </c>
      <c r="BN69" s="38" t="e">
        <f>BN28-#REF!</f>
        <v>#REF!</v>
      </c>
      <c r="BO69" s="38" t="e">
        <f>BO28-#REF!</f>
        <v>#REF!</v>
      </c>
      <c r="BP69" s="38" t="e">
        <f>BP28-#REF!</f>
        <v>#REF!</v>
      </c>
      <c r="BQ69" s="38" t="e">
        <f>BQ28-#REF!</f>
        <v>#REF!</v>
      </c>
      <c r="BR69" s="38" t="e">
        <f>BR28-#REF!</f>
        <v>#REF!</v>
      </c>
      <c r="BS69" s="38" t="e">
        <f>BS28-#REF!</f>
        <v>#REF!</v>
      </c>
      <c r="BT69" s="38" t="e">
        <f>BT28-#REF!</f>
        <v>#REF!</v>
      </c>
      <c r="BU69" s="38" t="e">
        <f>BU28-#REF!</f>
        <v>#REF!</v>
      </c>
    </row>
    <row r="70" spans="13:73" hidden="1" x14ac:dyDescent="0.2">
      <c r="M70" s="38" t="e">
        <f>M29-#REF!</f>
        <v>#REF!</v>
      </c>
      <c r="N70" s="38" t="e">
        <f>N29-#REF!</f>
        <v>#REF!</v>
      </c>
      <c r="O70" s="38" t="e">
        <f>O29-#REF!</f>
        <v>#REF!</v>
      </c>
      <c r="P70" s="38" t="e">
        <f>P29-#REF!</f>
        <v>#REF!</v>
      </c>
      <c r="Q70" s="38" t="e">
        <f>Q29-#REF!</f>
        <v>#REF!</v>
      </c>
      <c r="R70" s="38" t="e">
        <f>R29-#REF!</f>
        <v>#REF!</v>
      </c>
      <c r="S70" s="38" t="e">
        <f>S29-#REF!</f>
        <v>#REF!</v>
      </c>
      <c r="T70" s="38" t="e">
        <f>T29-#REF!</f>
        <v>#REF!</v>
      </c>
      <c r="U70" s="38" t="e">
        <f>U29-#REF!</f>
        <v>#REF!</v>
      </c>
      <c r="V70" s="38" t="e">
        <f>V29-#REF!</f>
        <v>#REF!</v>
      </c>
      <c r="W70" s="38" t="e">
        <f>W29-#REF!</f>
        <v>#REF!</v>
      </c>
      <c r="X70" s="38" t="e">
        <f>X29-#REF!</f>
        <v>#REF!</v>
      </c>
      <c r="Y70" s="38" t="e">
        <f>Y29-#REF!</f>
        <v>#REF!</v>
      </c>
      <c r="Z70" s="38" t="e">
        <f>Z29-#REF!</f>
        <v>#REF!</v>
      </c>
      <c r="AA70" s="38" t="e">
        <f>AA29-#REF!</f>
        <v>#REF!</v>
      </c>
      <c r="AB70" s="38" t="e">
        <f>AB29-#REF!</f>
        <v>#REF!</v>
      </c>
      <c r="AC70" s="38" t="e">
        <f>AC29-#REF!</f>
        <v>#REF!</v>
      </c>
      <c r="AD70" s="38" t="e">
        <f>AD29-#REF!</f>
        <v>#REF!</v>
      </c>
      <c r="AE70" s="38" t="e">
        <f>AE29-#REF!</f>
        <v>#REF!</v>
      </c>
      <c r="AF70" s="38" t="e">
        <f>AF29-#REF!</f>
        <v>#REF!</v>
      </c>
      <c r="AG70" s="38" t="e">
        <f>AG29-#REF!</f>
        <v>#REF!</v>
      </c>
      <c r="AH70" s="38" t="e">
        <f>AH29-#REF!</f>
        <v>#REF!</v>
      </c>
      <c r="AI70" s="38" t="e">
        <f>AI29-#REF!</f>
        <v>#REF!</v>
      </c>
      <c r="AJ70" s="38" t="e">
        <f>AJ29-#REF!</f>
        <v>#REF!</v>
      </c>
      <c r="AK70" s="38" t="e">
        <f>AK29-#REF!</f>
        <v>#REF!</v>
      </c>
      <c r="AL70" s="38" t="e">
        <f>AL29-#REF!</f>
        <v>#REF!</v>
      </c>
      <c r="AM70" s="38" t="e">
        <f>AM29-#REF!</f>
        <v>#REF!</v>
      </c>
      <c r="AN70" s="38" t="e">
        <f>AN29-#REF!</f>
        <v>#REF!</v>
      </c>
      <c r="AO70" s="38" t="e">
        <f>AO29-#REF!</f>
        <v>#REF!</v>
      </c>
      <c r="AP70" s="38" t="e">
        <f>AP29-#REF!</f>
        <v>#REF!</v>
      </c>
      <c r="AQ70" s="38" t="e">
        <f>AQ29-#REF!</f>
        <v>#REF!</v>
      </c>
      <c r="AR70" s="38" t="e">
        <f>AR29-#REF!</f>
        <v>#REF!</v>
      </c>
      <c r="AS70" s="38" t="e">
        <f>AS29-#REF!</f>
        <v>#REF!</v>
      </c>
      <c r="AT70" s="38" t="e">
        <f>AT29-#REF!</f>
        <v>#REF!</v>
      </c>
      <c r="AU70" s="38" t="e">
        <f>AU29-#REF!</f>
        <v>#REF!</v>
      </c>
      <c r="AV70" s="38" t="e">
        <f>AV29-#REF!</f>
        <v>#REF!</v>
      </c>
      <c r="AW70" s="38" t="e">
        <f>AW29-#REF!</f>
        <v>#REF!</v>
      </c>
      <c r="AX70" s="38" t="e">
        <f>AX29-#REF!</f>
        <v>#REF!</v>
      </c>
      <c r="AY70" s="38" t="e">
        <f>AY29-#REF!</f>
        <v>#REF!</v>
      </c>
      <c r="AZ70" s="38" t="e">
        <f>AZ29-#REF!</f>
        <v>#REF!</v>
      </c>
      <c r="BA70" s="38" t="e">
        <f>BA29-#REF!</f>
        <v>#REF!</v>
      </c>
      <c r="BB70" s="38" t="e">
        <f>BB29-#REF!</f>
        <v>#REF!</v>
      </c>
      <c r="BC70" s="38" t="e">
        <f>BC29-#REF!</f>
        <v>#REF!</v>
      </c>
      <c r="BD70" s="38" t="e">
        <f>BD29-#REF!</f>
        <v>#REF!</v>
      </c>
      <c r="BE70" s="38" t="e">
        <f>BE29-#REF!</f>
        <v>#REF!</v>
      </c>
      <c r="BF70" s="38" t="e">
        <f>BF29-#REF!</f>
        <v>#REF!</v>
      </c>
      <c r="BG70" s="38" t="e">
        <f>BG29-#REF!</f>
        <v>#REF!</v>
      </c>
      <c r="BH70" s="38" t="e">
        <f>BH29-#REF!</f>
        <v>#REF!</v>
      </c>
      <c r="BI70" s="38" t="e">
        <f>BI29-#REF!</f>
        <v>#REF!</v>
      </c>
      <c r="BJ70" s="38" t="e">
        <f>BJ29-#REF!</f>
        <v>#REF!</v>
      </c>
      <c r="BK70" s="38" t="e">
        <f>BK29-#REF!</f>
        <v>#REF!</v>
      </c>
      <c r="BL70" s="38" t="e">
        <f>BL29-#REF!</f>
        <v>#REF!</v>
      </c>
      <c r="BM70" s="38" t="e">
        <f>BM29-#REF!</f>
        <v>#REF!</v>
      </c>
      <c r="BN70" s="38" t="e">
        <f>BN29-#REF!</f>
        <v>#REF!</v>
      </c>
      <c r="BO70" s="38" t="e">
        <f>BO29-#REF!</f>
        <v>#REF!</v>
      </c>
      <c r="BP70" s="38" t="e">
        <f>BP29-#REF!</f>
        <v>#REF!</v>
      </c>
      <c r="BQ70" s="38" t="e">
        <f>BQ29-#REF!</f>
        <v>#REF!</v>
      </c>
      <c r="BR70" s="38" t="e">
        <f>BR29-#REF!</f>
        <v>#REF!</v>
      </c>
      <c r="BS70" s="38" t="e">
        <f>BS29-#REF!</f>
        <v>#REF!</v>
      </c>
      <c r="BT70" s="38" t="e">
        <f>BT29-#REF!</f>
        <v>#REF!</v>
      </c>
      <c r="BU70" s="38" t="e">
        <f>BU29-#REF!</f>
        <v>#REF!</v>
      </c>
    </row>
    <row r="71" spans="13:73" hidden="1" x14ac:dyDescent="0.2">
      <c r="M71" s="38" t="e">
        <f>M30-#REF!</f>
        <v>#REF!</v>
      </c>
      <c r="N71" s="38" t="e">
        <f>N30-#REF!</f>
        <v>#REF!</v>
      </c>
      <c r="O71" s="38" t="e">
        <f>O30-#REF!</f>
        <v>#REF!</v>
      </c>
      <c r="P71" s="38" t="e">
        <f>P30-#REF!</f>
        <v>#REF!</v>
      </c>
      <c r="Q71" s="38" t="e">
        <f>Q30-#REF!</f>
        <v>#REF!</v>
      </c>
      <c r="R71" s="38" t="e">
        <f>R30-#REF!</f>
        <v>#REF!</v>
      </c>
      <c r="S71" s="38" t="e">
        <f>S30-#REF!</f>
        <v>#REF!</v>
      </c>
      <c r="T71" s="38" t="e">
        <f>T30-#REF!</f>
        <v>#REF!</v>
      </c>
      <c r="U71" s="38" t="e">
        <f>U30-#REF!</f>
        <v>#REF!</v>
      </c>
      <c r="V71" s="38" t="e">
        <f>V30-#REF!</f>
        <v>#REF!</v>
      </c>
      <c r="W71" s="38" t="e">
        <f>W30-#REF!</f>
        <v>#REF!</v>
      </c>
      <c r="X71" s="38" t="e">
        <f>X30-#REF!</f>
        <v>#REF!</v>
      </c>
      <c r="Y71" s="38" t="e">
        <f>Y30-#REF!</f>
        <v>#REF!</v>
      </c>
      <c r="Z71" s="38" t="e">
        <f>Z30-#REF!</f>
        <v>#REF!</v>
      </c>
      <c r="AA71" s="38" t="e">
        <f>AA30-#REF!</f>
        <v>#REF!</v>
      </c>
      <c r="AB71" s="38" t="e">
        <f>AB30-#REF!</f>
        <v>#REF!</v>
      </c>
      <c r="AC71" s="38" t="e">
        <f>AC30-#REF!</f>
        <v>#REF!</v>
      </c>
      <c r="AD71" s="38" t="e">
        <f>AD30-#REF!</f>
        <v>#REF!</v>
      </c>
      <c r="AE71" s="38" t="e">
        <f>AE30-#REF!</f>
        <v>#REF!</v>
      </c>
      <c r="AF71" s="38" t="e">
        <f>AF30-#REF!</f>
        <v>#REF!</v>
      </c>
      <c r="AG71" s="38" t="e">
        <f>AG30-#REF!</f>
        <v>#REF!</v>
      </c>
      <c r="AH71" s="38" t="e">
        <f>AH30-#REF!</f>
        <v>#REF!</v>
      </c>
      <c r="AI71" s="38" t="e">
        <f>AI30-#REF!</f>
        <v>#REF!</v>
      </c>
      <c r="AJ71" s="38" t="e">
        <f>AJ30-#REF!</f>
        <v>#REF!</v>
      </c>
      <c r="AK71" s="38" t="e">
        <f>AK30-#REF!</f>
        <v>#REF!</v>
      </c>
      <c r="AL71" s="38" t="e">
        <f>AL30-#REF!</f>
        <v>#REF!</v>
      </c>
      <c r="AM71" s="38" t="e">
        <f>AM30-#REF!</f>
        <v>#REF!</v>
      </c>
      <c r="AN71" s="38" t="e">
        <f>AN30-#REF!</f>
        <v>#REF!</v>
      </c>
      <c r="AO71" s="38" t="e">
        <f>AO30-#REF!</f>
        <v>#REF!</v>
      </c>
      <c r="AP71" s="38" t="e">
        <f>AP30-#REF!</f>
        <v>#REF!</v>
      </c>
      <c r="AQ71" s="38" t="e">
        <f>AQ30-#REF!</f>
        <v>#REF!</v>
      </c>
      <c r="AR71" s="38" t="e">
        <f>AR30-#REF!</f>
        <v>#REF!</v>
      </c>
      <c r="AS71" s="38" t="e">
        <f>AS30-#REF!</f>
        <v>#REF!</v>
      </c>
      <c r="AT71" s="38" t="e">
        <f>AT30-#REF!</f>
        <v>#REF!</v>
      </c>
      <c r="AU71" s="38" t="e">
        <f>AU30-#REF!</f>
        <v>#REF!</v>
      </c>
      <c r="AV71" s="38" t="e">
        <f>AV30-#REF!</f>
        <v>#REF!</v>
      </c>
      <c r="AW71" s="38" t="e">
        <f>AW30-#REF!</f>
        <v>#REF!</v>
      </c>
      <c r="AX71" s="38" t="e">
        <f>AX30-#REF!</f>
        <v>#REF!</v>
      </c>
      <c r="AY71" s="38" t="e">
        <f>AY30-#REF!</f>
        <v>#REF!</v>
      </c>
      <c r="AZ71" s="38" t="e">
        <f>AZ30-#REF!</f>
        <v>#REF!</v>
      </c>
      <c r="BA71" s="38" t="e">
        <f>BA30-#REF!</f>
        <v>#REF!</v>
      </c>
      <c r="BB71" s="38" t="e">
        <f>BB30-#REF!</f>
        <v>#REF!</v>
      </c>
      <c r="BC71" s="38" t="e">
        <f>BC30-#REF!</f>
        <v>#REF!</v>
      </c>
      <c r="BD71" s="38" t="e">
        <f>BD30-#REF!</f>
        <v>#REF!</v>
      </c>
      <c r="BE71" s="38" t="e">
        <f>BE30-#REF!</f>
        <v>#REF!</v>
      </c>
      <c r="BF71" s="38" t="e">
        <f>BF30-#REF!</f>
        <v>#REF!</v>
      </c>
      <c r="BG71" s="38" t="e">
        <f>BG30-#REF!</f>
        <v>#REF!</v>
      </c>
      <c r="BH71" s="38" t="e">
        <f>BH30-#REF!</f>
        <v>#REF!</v>
      </c>
      <c r="BI71" s="38" t="e">
        <f>BI30-#REF!</f>
        <v>#REF!</v>
      </c>
      <c r="BJ71" s="38" t="e">
        <f>BJ30-#REF!</f>
        <v>#REF!</v>
      </c>
      <c r="BK71" s="38" t="e">
        <f>BK30-#REF!</f>
        <v>#REF!</v>
      </c>
      <c r="BL71" s="38" t="e">
        <f>BL30-#REF!</f>
        <v>#REF!</v>
      </c>
      <c r="BM71" s="38" t="e">
        <f>BM30-#REF!</f>
        <v>#REF!</v>
      </c>
      <c r="BN71" s="38" t="e">
        <f>BN30-#REF!</f>
        <v>#REF!</v>
      </c>
      <c r="BO71" s="38" t="e">
        <f>BO30-#REF!</f>
        <v>#REF!</v>
      </c>
      <c r="BP71" s="38" t="e">
        <f>BP30-#REF!</f>
        <v>#REF!</v>
      </c>
      <c r="BQ71" s="38" t="e">
        <f>BQ30-#REF!</f>
        <v>#REF!</v>
      </c>
      <c r="BR71" s="38" t="e">
        <f>BR30-#REF!</f>
        <v>#REF!</v>
      </c>
      <c r="BS71" s="38" t="e">
        <f>BS30-#REF!</f>
        <v>#REF!</v>
      </c>
      <c r="BT71" s="38" t="e">
        <f>BT30-#REF!</f>
        <v>#REF!</v>
      </c>
      <c r="BU71" s="38" t="e">
        <f>BU30-#REF!</f>
        <v>#REF!</v>
      </c>
    </row>
    <row r="72" spans="13:73" hidden="1" x14ac:dyDescent="0.2">
      <c r="M72" s="38" t="e">
        <f>M31-#REF!</f>
        <v>#REF!</v>
      </c>
      <c r="N72" s="38" t="e">
        <f>N31-#REF!</f>
        <v>#REF!</v>
      </c>
      <c r="O72" s="38" t="e">
        <f>O31-#REF!</f>
        <v>#REF!</v>
      </c>
      <c r="P72" s="38" t="e">
        <f>P31-#REF!</f>
        <v>#REF!</v>
      </c>
      <c r="Q72" s="38" t="e">
        <f>Q31-#REF!</f>
        <v>#REF!</v>
      </c>
      <c r="R72" s="38" t="e">
        <f>R31-#REF!</f>
        <v>#REF!</v>
      </c>
      <c r="S72" s="38" t="e">
        <f>S31-#REF!</f>
        <v>#REF!</v>
      </c>
      <c r="T72" s="38" t="e">
        <f>T31-#REF!</f>
        <v>#REF!</v>
      </c>
      <c r="U72" s="38" t="e">
        <f>U31-#REF!</f>
        <v>#REF!</v>
      </c>
      <c r="V72" s="38" t="e">
        <f>V31-#REF!</f>
        <v>#REF!</v>
      </c>
      <c r="W72" s="38" t="e">
        <f>W31-#REF!</f>
        <v>#REF!</v>
      </c>
      <c r="X72" s="38" t="e">
        <f>X31-#REF!</f>
        <v>#REF!</v>
      </c>
      <c r="Y72" s="38" t="e">
        <f>Y31-#REF!</f>
        <v>#REF!</v>
      </c>
      <c r="Z72" s="38" t="e">
        <f>Z31-#REF!</f>
        <v>#REF!</v>
      </c>
      <c r="AA72" s="38" t="e">
        <f>AA31-#REF!</f>
        <v>#REF!</v>
      </c>
      <c r="AB72" s="38" t="e">
        <f>AB31-#REF!</f>
        <v>#REF!</v>
      </c>
      <c r="AC72" s="38" t="e">
        <f>AC31-#REF!</f>
        <v>#REF!</v>
      </c>
      <c r="AD72" s="38" t="e">
        <f>AD31-#REF!</f>
        <v>#REF!</v>
      </c>
      <c r="AE72" s="38" t="e">
        <f>AE31-#REF!</f>
        <v>#REF!</v>
      </c>
      <c r="AF72" s="38" t="e">
        <f>AF31-#REF!</f>
        <v>#REF!</v>
      </c>
      <c r="AG72" s="38" t="e">
        <f>AG31-#REF!</f>
        <v>#REF!</v>
      </c>
      <c r="AH72" s="38" t="e">
        <f>AH31-#REF!</f>
        <v>#REF!</v>
      </c>
      <c r="AI72" s="38" t="e">
        <f>AI31-#REF!</f>
        <v>#REF!</v>
      </c>
      <c r="AJ72" s="38" t="e">
        <f>AJ31-#REF!</f>
        <v>#REF!</v>
      </c>
      <c r="AK72" s="38" t="e">
        <f>AK31-#REF!</f>
        <v>#REF!</v>
      </c>
      <c r="AL72" s="38" t="e">
        <f>AL31-#REF!</f>
        <v>#REF!</v>
      </c>
      <c r="AM72" s="38" t="e">
        <f>AM31-#REF!</f>
        <v>#REF!</v>
      </c>
      <c r="AN72" s="38" t="e">
        <f>AN31-#REF!</f>
        <v>#REF!</v>
      </c>
      <c r="AO72" s="38" t="e">
        <f>AO31-#REF!</f>
        <v>#REF!</v>
      </c>
      <c r="AP72" s="38" t="e">
        <f>AP31-#REF!</f>
        <v>#REF!</v>
      </c>
      <c r="AQ72" s="38" t="e">
        <f>AQ31-#REF!</f>
        <v>#REF!</v>
      </c>
      <c r="AR72" s="38" t="e">
        <f>AR31-#REF!</f>
        <v>#REF!</v>
      </c>
      <c r="AS72" s="38" t="e">
        <f>AS31-#REF!</f>
        <v>#REF!</v>
      </c>
      <c r="AT72" s="38" t="e">
        <f>AT31-#REF!</f>
        <v>#REF!</v>
      </c>
      <c r="AU72" s="38" t="e">
        <f>AU31-#REF!</f>
        <v>#REF!</v>
      </c>
      <c r="AV72" s="38" t="e">
        <f>AV31-#REF!</f>
        <v>#REF!</v>
      </c>
      <c r="AW72" s="38" t="e">
        <f>AW31-#REF!</f>
        <v>#REF!</v>
      </c>
      <c r="AX72" s="38" t="e">
        <f>AX31-#REF!</f>
        <v>#REF!</v>
      </c>
      <c r="AY72" s="38" t="e">
        <f>AY31-#REF!</f>
        <v>#REF!</v>
      </c>
      <c r="AZ72" s="38" t="e">
        <f>AZ31-#REF!</f>
        <v>#REF!</v>
      </c>
      <c r="BA72" s="38" t="e">
        <f>BA31-#REF!</f>
        <v>#REF!</v>
      </c>
      <c r="BB72" s="38" t="e">
        <f>BB31-#REF!</f>
        <v>#REF!</v>
      </c>
      <c r="BC72" s="38" t="e">
        <f>BC31-#REF!</f>
        <v>#REF!</v>
      </c>
      <c r="BD72" s="38" t="e">
        <f>BD31-#REF!</f>
        <v>#REF!</v>
      </c>
      <c r="BE72" s="38" t="e">
        <f>BE31-#REF!</f>
        <v>#REF!</v>
      </c>
      <c r="BF72" s="38" t="e">
        <f>BF31-#REF!</f>
        <v>#REF!</v>
      </c>
      <c r="BG72" s="38" t="e">
        <f>BG31-#REF!</f>
        <v>#REF!</v>
      </c>
      <c r="BH72" s="38" t="e">
        <f>BH31-#REF!</f>
        <v>#REF!</v>
      </c>
      <c r="BI72" s="38" t="e">
        <f>BI31-#REF!</f>
        <v>#REF!</v>
      </c>
      <c r="BJ72" s="38" t="e">
        <f>BJ31-#REF!</f>
        <v>#REF!</v>
      </c>
      <c r="BK72" s="38" t="e">
        <f>BK31-#REF!</f>
        <v>#REF!</v>
      </c>
      <c r="BL72" s="38" t="e">
        <f>BL31-#REF!</f>
        <v>#REF!</v>
      </c>
      <c r="BM72" s="38" t="e">
        <f>BM31-#REF!</f>
        <v>#REF!</v>
      </c>
      <c r="BN72" s="38" t="e">
        <f>BN31-#REF!</f>
        <v>#REF!</v>
      </c>
      <c r="BO72" s="38" t="e">
        <f>BO31-#REF!</f>
        <v>#REF!</v>
      </c>
      <c r="BP72" s="38" t="e">
        <f>BP31-#REF!</f>
        <v>#REF!</v>
      </c>
      <c r="BQ72" s="38" t="e">
        <f>BQ31-#REF!</f>
        <v>#REF!</v>
      </c>
      <c r="BR72" s="38" t="e">
        <f>BR31-#REF!</f>
        <v>#REF!</v>
      </c>
      <c r="BS72" s="38" t="e">
        <f>BS31-#REF!</f>
        <v>#REF!</v>
      </c>
      <c r="BT72" s="38" t="e">
        <f>BT31-#REF!</f>
        <v>#REF!</v>
      </c>
      <c r="BU72" s="38" t="e">
        <f>BU31-#REF!</f>
        <v>#REF!</v>
      </c>
    </row>
    <row r="73" spans="13:73" hidden="1" x14ac:dyDescent="0.2">
      <c r="M73" s="38" t="e">
        <f>M32-#REF!</f>
        <v>#REF!</v>
      </c>
      <c r="N73" s="38" t="e">
        <f>N32-#REF!</f>
        <v>#REF!</v>
      </c>
      <c r="O73" s="38" t="e">
        <f>O32-#REF!</f>
        <v>#REF!</v>
      </c>
      <c r="P73" s="38" t="e">
        <f>P32-#REF!</f>
        <v>#REF!</v>
      </c>
      <c r="Q73" s="38" t="e">
        <f>Q32-#REF!</f>
        <v>#REF!</v>
      </c>
      <c r="R73" s="38" t="e">
        <f>R32-#REF!</f>
        <v>#REF!</v>
      </c>
      <c r="S73" s="38" t="e">
        <f>S32-#REF!</f>
        <v>#REF!</v>
      </c>
      <c r="T73" s="38" t="e">
        <f>T32-#REF!</f>
        <v>#REF!</v>
      </c>
      <c r="U73" s="38" t="e">
        <f>U32-#REF!</f>
        <v>#REF!</v>
      </c>
      <c r="V73" s="38" t="e">
        <f>V32-#REF!</f>
        <v>#REF!</v>
      </c>
      <c r="W73" s="38" t="e">
        <f>W32-#REF!</f>
        <v>#REF!</v>
      </c>
      <c r="X73" s="38" t="e">
        <f>X32-#REF!</f>
        <v>#REF!</v>
      </c>
      <c r="Y73" s="38" t="e">
        <f>Y32-#REF!</f>
        <v>#REF!</v>
      </c>
      <c r="Z73" s="38" t="e">
        <f>Z32-#REF!</f>
        <v>#REF!</v>
      </c>
      <c r="AA73" s="38" t="e">
        <f>AA32-#REF!</f>
        <v>#REF!</v>
      </c>
      <c r="AB73" s="38" t="e">
        <f>AB32-#REF!</f>
        <v>#REF!</v>
      </c>
      <c r="AC73" s="38" t="e">
        <f>AC32-#REF!</f>
        <v>#REF!</v>
      </c>
      <c r="AD73" s="38" t="e">
        <f>AD32-#REF!</f>
        <v>#REF!</v>
      </c>
      <c r="AE73" s="38" t="e">
        <f>AE32-#REF!</f>
        <v>#REF!</v>
      </c>
      <c r="AF73" s="38" t="e">
        <f>AF32-#REF!</f>
        <v>#REF!</v>
      </c>
      <c r="AG73" s="38" t="e">
        <f>AG32-#REF!</f>
        <v>#REF!</v>
      </c>
      <c r="AH73" s="38" t="e">
        <f>AH32-#REF!</f>
        <v>#REF!</v>
      </c>
      <c r="AI73" s="38" t="e">
        <f>AI32-#REF!</f>
        <v>#REF!</v>
      </c>
      <c r="AJ73" s="38" t="e">
        <f>AJ32-#REF!</f>
        <v>#REF!</v>
      </c>
      <c r="AK73" s="38" t="e">
        <f>AK32-#REF!</f>
        <v>#REF!</v>
      </c>
      <c r="AL73" s="38" t="e">
        <f>AL32-#REF!</f>
        <v>#REF!</v>
      </c>
      <c r="AM73" s="38" t="e">
        <f>AM32-#REF!</f>
        <v>#REF!</v>
      </c>
      <c r="AN73" s="38" t="e">
        <f>AN32-#REF!</f>
        <v>#REF!</v>
      </c>
      <c r="AO73" s="38" t="e">
        <f>AO32-#REF!</f>
        <v>#REF!</v>
      </c>
      <c r="AP73" s="38" t="e">
        <f>AP32-#REF!</f>
        <v>#REF!</v>
      </c>
      <c r="AQ73" s="38" t="e">
        <f>AQ32-#REF!</f>
        <v>#REF!</v>
      </c>
      <c r="AR73" s="38" t="e">
        <f>AR32-#REF!</f>
        <v>#REF!</v>
      </c>
      <c r="AS73" s="38" t="e">
        <f>AS32-#REF!</f>
        <v>#REF!</v>
      </c>
      <c r="AT73" s="38" t="e">
        <f>AT32-#REF!</f>
        <v>#REF!</v>
      </c>
      <c r="AU73" s="38" t="e">
        <f>AU32-#REF!</f>
        <v>#REF!</v>
      </c>
      <c r="AV73" s="38" t="e">
        <f>AV32-#REF!</f>
        <v>#REF!</v>
      </c>
      <c r="AW73" s="38" t="e">
        <f>AW32-#REF!</f>
        <v>#REF!</v>
      </c>
      <c r="AX73" s="38" t="e">
        <f>AX32-#REF!</f>
        <v>#REF!</v>
      </c>
      <c r="AY73" s="38" t="e">
        <f>AY32-#REF!</f>
        <v>#REF!</v>
      </c>
      <c r="AZ73" s="38" t="e">
        <f>AZ32-#REF!</f>
        <v>#REF!</v>
      </c>
      <c r="BA73" s="38" t="e">
        <f>BA32-#REF!</f>
        <v>#REF!</v>
      </c>
      <c r="BB73" s="38" t="e">
        <f>BB32-#REF!</f>
        <v>#REF!</v>
      </c>
      <c r="BC73" s="38" t="e">
        <f>BC32-#REF!</f>
        <v>#REF!</v>
      </c>
      <c r="BD73" s="38" t="e">
        <f>BD32-#REF!</f>
        <v>#REF!</v>
      </c>
      <c r="BE73" s="38" t="e">
        <f>BE32-#REF!</f>
        <v>#REF!</v>
      </c>
      <c r="BF73" s="38" t="e">
        <f>BF32-#REF!</f>
        <v>#REF!</v>
      </c>
      <c r="BG73" s="38" t="e">
        <f>BG32-#REF!</f>
        <v>#REF!</v>
      </c>
      <c r="BH73" s="38" t="e">
        <f>BH32-#REF!</f>
        <v>#REF!</v>
      </c>
      <c r="BI73" s="38" t="e">
        <f>BI32-#REF!</f>
        <v>#REF!</v>
      </c>
      <c r="BJ73" s="38" t="e">
        <f>BJ32-#REF!</f>
        <v>#REF!</v>
      </c>
      <c r="BK73" s="38" t="e">
        <f>BK32-#REF!</f>
        <v>#REF!</v>
      </c>
      <c r="BL73" s="38" t="e">
        <f>BL32-#REF!</f>
        <v>#REF!</v>
      </c>
      <c r="BM73" s="38" t="e">
        <f>BM32-#REF!</f>
        <v>#REF!</v>
      </c>
      <c r="BN73" s="38" t="e">
        <f>BN32-#REF!</f>
        <v>#REF!</v>
      </c>
      <c r="BO73" s="38" t="e">
        <f>BO32-#REF!</f>
        <v>#REF!</v>
      </c>
      <c r="BP73" s="38" t="e">
        <f>BP32-#REF!</f>
        <v>#REF!</v>
      </c>
      <c r="BQ73" s="38" t="e">
        <f>BQ32-#REF!</f>
        <v>#REF!</v>
      </c>
      <c r="BR73" s="38" t="e">
        <f>BR32-#REF!</f>
        <v>#REF!</v>
      </c>
      <c r="BS73" s="38" t="e">
        <f>BS32-#REF!</f>
        <v>#REF!</v>
      </c>
      <c r="BT73" s="38" t="e">
        <f>BT32-#REF!</f>
        <v>#REF!</v>
      </c>
      <c r="BU73" s="38" t="e">
        <f>BU32-#REF!</f>
        <v>#REF!</v>
      </c>
    </row>
    <row r="74" spans="13:73" hidden="1" x14ac:dyDescent="0.2">
      <c r="M74" s="38" t="e">
        <f>M33-#REF!</f>
        <v>#REF!</v>
      </c>
      <c r="N74" s="38" t="e">
        <f>N33-#REF!</f>
        <v>#REF!</v>
      </c>
      <c r="O74" s="38" t="e">
        <f>O33-#REF!</f>
        <v>#REF!</v>
      </c>
      <c r="P74" s="38" t="e">
        <f>P33-#REF!</f>
        <v>#REF!</v>
      </c>
      <c r="Q74" s="38" t="e">
        <f>Q33-#REF!</f>
        <v>#REF!</v>
      </c>
      <c r="R74" s="38" t="e">
        <f>R33-#REF!</f>
        <v>#REF!</v>
      </c>
      <c r="S74" s="38" t="e">
        <f>S33-#REF!</f>
        <v>#REF!</v>
      </c>
      <c r="T74" s="38" t="e">
        <f>T33-#REF!</f>
        <v>#REF!</v>
      </c>
      <c r="U74" s="38" t="e">
        <f>U33-#REF!</f>
        <v>#REF!</v>
      </c>
      <c r="V74" s="38" t="e">
        <f>V33-#REF!</f>
        <v>#REF!</v>
      </c>
      <c r="W74" s="38" t="e">
        <f>W33-#REF!</f>
        <v>#REF!</v>
      </c>
      <c r="X74" s="38" t="e">
        <f>X33-#REF!</f>
        <v>#REF!</v>
      </c>
      <c r="Y74" s="38" t="e">
        <f>Y33-#REF!</f>
        <v>#REF!</v>
      </c>
      <c r="Z74" s="38" t="e">
        <f>Z33-#REF!</f>
        <v>#REF!</v>
      </c>
      <c r="AA74" s="38" t="e">
        <f>AA33-#REF!</f>
        <v>#REF!</v>
      </c>
      <c r="AB74" s="38" t="e">
        <f>AB33-#REF!</f>
        <v>#REF!</v>
      </c>
      <c r="AC74" s="38" t="e">
        <f>AC33-#REF!</f>
        <v>#REF!</v>
      </c>
      <c r="AD74" s="38" t="e">
        <f>AD33-#REF!</f>
        <v>#REF!</v>
      </c>
      <c r="AE74" s="38" t="e">
        <f>AE33-#REF!</f>
        <v>#REF!</v>
      </c>
      <c r="AF74" s="38" t="e">
        <f>AF33-#REF!</f>
        <v>#REF!</v>
      </c>
      <c r="AG74" s="38" t="e">
        <f>AG33-#REF!</f>
        <v>#REF!</v>
      </c>
      <c r="AH74" s="38" t="e">
        <f>AH33-#REF!</f>
        <v>#REF!</v>
      </c>
      <c r="AI74" s="38" t="e">
        <f>AI33-#REF!</f>
        <v>#REF!</v>
      </c>
      <c r="AJ74" s="38" t="e">
        <f>AJ33-#REF!</f>
        <v>#REF!</v>
      </c>
      <c r="AK74" s="38" t="e">
        <f>AK33-#REF!</f>
        <v>#REF!</v>
      </c>
      <c r="AL74" s="38" t="e">
        <f>AL33-#REF!</f>
        <v>#REF!</v>
      </c>
      <c r="AM74" s="38" t="e">
        <f>AM33-#REF!</f>
        <v>#REF!</v>
      </c>
      <c r="AN74" s="38" t="e">
        <f>AN33-#REF!</f>
        <v>#REF!</v>
      </c>
      <c r="AO74" s="38" t="e">
        <f>AO33-#REF!</f>
        <v>#REF!</v>
      </c>
      <c r="AP74" s="38" t="e">
        <f>AP33-#REF!</f>
        <v>#REF!</v>
      </c>
      <c r="AQ74" s="38" t="e">
        <f>AQ33-#REF!</f>
        <v>#REF!</v>
      </c>
      <c r="AR74" s="38" t="e">
        <f>AR33-#REF!</f>
        <v>#REF!</v>
      </c>
      <c r="AS74" s="38" t="e">
        <f>AS33-#REF!</f>
        <v>#REF!</v>
      </c>
      <c r="AT74" s="38" t="e">
        <f>AT33-#REF!</f>
        <v>#REF!</v>
      </c>
      <c r="AU74" s="38" t="e">
        <f>AU33-#REF!</f>
        <v>#REF!</v>
      </c>
      <c r="AV74" s="38" t="e">
        <f>AV33-#REF!</f>
        <v>#REF!</v>
      </c>
      <c r="AW74" s="38" t="e">
        <f>AW33-#REF!</f>
        <v>#REF!</v>
      </c>
      <c r="AX74" s="38" t="e">
        <f>AX33-#REF!</f>
        <v>#REF!</v>
      </c>
      <c r="AY74" s="38" t="e">
        <f>AY33-#REF!</f>
        <v>#REF!</v>
      </c>
      <c r="AZ74" s="38" t="e">
        <f>AZ33-#REF!</f>
        <v>#REF!</v>
      </c>
      <c r="BA74" s="38" t="e">
        <f>BA33-#REF!</f>
        <v>#REF!</v>
      </c>
      <c r="BB74" s="38" t="e">
        <f>BB33-#REF!</f>
        <v>#REF!</v>
      </c>
      <c r="BC74" s="38" t="e">
        <f>BC33-#REF!</f>
        <v>#REF!</v>
      </c>
      <c r="BD74" s="38" t="e">
        <f>BD33-#REF!</f>
        <v>#REF!</v>
      </c>
      <c r="BE74" s="38" t="e">
        <f>BE33-#REF!</f>
        <v>#REF!</v>
      </c>
      <c r="BF74" s="38" t="e">
        <f>BF33-#REF!</f>
        <v>#REF!</v>
      </c>
      <c r="BG74" s="38" t="e">
        <f>BG33-#REF!</f>
        <v>#REF!</v>
      </c>
      <c r="BH74" s="38" t="e">
        <f>BH33-#REF!</f>
        <v>#REF!</v>
      </c>
      <c r="BI74" s="38" t="e">
        <f>BI33-#REF!</f>
        <v>#REF!</v>
      </c>
      <c r="BJ74" s="38" t="e">
        <f>BJ33-#REF!</f>
        <v>#REF!</v>
      </c>
      <c r="BK74" s="38" t="e">
        <f>BK33-#REF!</f>
        <v>#REF!</v>
      </c>
      <c r="BL74" s="38" t="e">
        <f>BL33-#REF!</f>
        <v>#REF!</v>
      </c>
      <c r="BM74" s="38" t="e">
        <f>BM33-#REF!</f>
        <v>#REF!</v>
      </c>
      <c r="BN74" s="38" t="e">
        <f>BN33-#REF!</f>
        <v>#REF!</v>
      </c>
      <c r="BO74" s="38" t="e">
        <f>BO33-#REF!</f>
        <v>#REF!</v>
      </c>
      <c r="BP74" s="38" t="e">
        <f>BP33-#REF!</f>
        <v>#REF!</v>
      </c>
      <c r="BQ74" s="38" t="e">
        <f>BQ33-#REF!</f>
        <v>#REF!</v>
      </c>
      <c r="BR74" s="38" t="e">
        <f>BR33-#REF!</f>
        <v>#REF!</v>
      </c>
      <c r="BS74" s="38" t="e">
        <f>BS33-#REF!</f>
        <v>#REF!</v>
      </c>
      <c r="BT74" s="38" t="e">
        <f>BT33-#REF!</f>
        <v>#REF!</v>
      </c>
      <c r="BU74" s="38" t="e">
        <f>BU33-#REF!</f>
        <v>#REF!</v>
      </c>
    </row>
    <row r="75" spans="13:73" hidden="1" x14ac:dyDescent="0.2">
      <c r="M75" s="38" t="e">
        <f>M34-#REF!</f>
        <v>#REF!</v>
      </c>
      <c r="N75" s="38" t="e">
        <f>N34-#REF!</f>
        <v>#REF!</v>
      </c>
      <c r="O75" s="38" t="e">
        <f>O34-#REF!</f>
        <v>#REF!</v>
      </c>
      <c r="P75" s="38" t="e">
        <f>P34-#REF!</f>
        <v>#REF!</v>
      </c>
      <c r="Q75" s="38" t="e">
        <f>Q34-#REF!</f>
        <v>#REF!</v>
      </c>
      <c r="R75" s="38" t="e">
        <f>R34-#REF!</f>
        <v>#REF!</v>
      </c>
      <c r="S75" s="38" t="e">
        <f>S34-#REF!</f>
        <v>#REF!</v>
      </c>
      <c r="T75" s="38" t="e">
        <f>T34-#REF!</f>
        <v>#REF!</v>
      </c>
      <c r="U75" s="38" t="e">
        <f>U34-#REF!</f>
        <v>#REF!</v>
      </c>
      <c r="V75" s="38" t="e">
        <f>V34-#REF!</f>
        <v>#REF!</v>
      </c>
      <c r="W75" s="38" t="e">
        <f>W34-#REF!</f>
        <v>#REF!</v>
      </c>
      <c r="X75" s="38" t="e">
        <f>X34-#REF!</f>
        <v>#REF!</v>
      </c>
      <c r="Y75" s="38" t="e">
        <f>Y34-#REF!</f>
        <v>#REF!</v>
      </c>
      <c r="Z75" s="38" t="e">
        <f>Z34-#REF!</f>
        <v>#REF!</v>
      </c>
      <c r="AA75" s="38" t="e">
        <f>AA34-#REF!</f>
        <v>#REF!</v>
      </c>
      <c r="AB75" s="38" t="e">
        <f>AB34-#REF!</f>
        <v>#REF!</v>
      </c>
      <c r="AC75" s="38" t="e">
        <f>AC34-#REF!</f>
        <v>#REF!</v>
      </c>
      <c r="AD75" s="38" t="e">
        <f>AD34-#REF!</f>
        <v>#REF!</v>
      </c>
      <c r="AE75" s="38" t="e">
        <f>AE34-#REF!</f>
        <v>#REF!</v>
      </c>
      <c r="AF75" s="38" t="e">
        <f>AF34-#REF!</f>
        <v>#REF!</v>
      </c>
      <c r="AG75" s="38" t="e">
        <f>AG34-#REF!</f>
        <v>#REF!</v>
      </c>
      <c r="AH75" s="38" t="e">
        <f>AH34-#REF!</f>
        <v>#REF!</v>
      </c>
      <c r="AI75" s="38" t="e">
        <f>AI34-#REF!</f>
        <v>#REF!</v>
      </c>
      <c r="AJ75" s="38" t="e">
        <f>AJ34-#REF!</f>
        <v>#REF!</v>
      </c>
      <c r="AK75" s="38" t="e">
        <f>AK34-#REF!</f>
        <v>#REF!</v>
      </c>
      <c r="AL75" s="38" t="e">
        <f>AL34-#REF!</f>
        <v>#REF!</v>
      </c>
      <c r="AM75" s="38" t="e">
        <f>AM34-#REF!</f>
        <v>#REF!</v>
      </c>
      <c r="AN75" s="38" t="e">
        <f>AN34-#REF!</f>
        <v>#REF!</v>
      </c>
      <c r="AO75" s="38" t="e">
        <f>AO34-#REF!</f>
        <v>#REF!</v>
      </c>
      <c r="AP75" s="38" t="e">
        <f>AP34-#REF!</f>
        <v>#REF!</v>
      </c>
      <c r="AQ75" s="38" t="e">
        <f>AQ34-#REF!</f>
        <v>#REF!</v>
      </c>
      <c r="AR75" s="38" t="e">
        <f>AR34-#REF!</f>
        <v>#REF!</v>
      </c>
      <c r="AS75" s="38" t="e">
        <f>AS34-#REF!</f>
        <v>#REF!</v>
      </c>
      <c r="AT75" s="38" t="e">
        <f>AT34-#REF!</f>
        <v>#REF!</v>
      </c>
      <c r="AU75" s="38" t="e">
        <f>AU34-#REF!</f>
        <v>#REF!</v>
      </c>
      <c r="AV75" s="38" t="e">
        <f>AV34-#REF!</f>
        <v>#REF!</v>
      </c>
      <c r="AW75" s="38" t="e">
        <f>AW34-#REF!</f>
        <v>#REF!</v>
      </c>
      <c r="AX75" s="38" t="e">
        <f>AX34-#REF!</f>
        <v>#REF!</v>
      </c>
      <c r="AY75" s="38" t="e">
        <f>AY34-#REF!</f>
        <v>#REF!</v>
      </c>
      <c r="AZ75" s="38" t="e">
        <f>AZ34-#REF!</f>
        <v>#REF!</v>
      </c>
      <c r="BA75" s="38" t="e">
        <f>BA34-#REF!</f>
        <v>#REF!</v>
      </c>
      <c r="BB75" s="38" t="e">
        <f>BB34-#REF!</f>
        <v>#REF!</v>
      </c>
      <c r="BC75" s="38" t="e">
        <f>BC34-#REF!</f>
        <v>#REF!</v>
      </c>
      <c r="BD75" s="38" t="e">
        <f>BD34-#REF!</f>
        <v>#REF!</v>
      </c>
      <c r="BE75" s="38" t="e">
        <f>BE34-#REF!</f>
        <v>#REF!</v>
      </c>
      <c r="BF75" s="38" t="e">
        <f>BF34-#REF!</f>
        <v>#REF!</v>
      </c>
      <c r="BG75" s="38" t="e">
        <f>BG34-#REF!</f>
        <v>#REF!</v>
      </c>
      <c r="BH75" s="38" t="e">
        <f>BH34-#REF!</f>
        <v>#REF!</v>
      </c>
      <c r="BI75" s="38" t="e">
        <f>BI34-#REF!</f>
        <v>#REF!</v>
      </c>
      <c r="BJ75" s="38" t="e">
        <f>BJ34-#REF!</f>
        <v>#REF!</v>
      </c>
      <c r="BK75" s="38" t="e">
        <f>BK34-#REF!</f>
        <v>#REF!</v>
      </c>
      <c r="BL75" s="38" t="e">
        <f>BL34-#REF!</f>
        <v>#REF!</v>
      </c>
      <c r="BM75" s="38" t="e">
        <f>BM34-#REF!</f>
        <v>#REF!</v>
      </c>
      <c r="BN75" s="38" t="e">
        <f>BN34-#REF!</f>
        <v>#REF!</v>
      </c>
      <c r="BO75" s="38" t="e">
        <f>BO34-#REF!</f>
        <v>#REF!</v>
      </c>
      <c r="BP75" s="38" t="e">
        <f>BP34-#REF!</f>
        <v>#REF!</v>
      </c>
      <c r="BQ75" s="38" t="e">
        <f>BQ34-#REF!</f>
        <v>#REF!</v>
      </c>
      <c r="BR75" s="38" t="e">
        <f>BR34-#REF!</f>
        <v>#REF!</v>
      </c>
      <c r="BS75" s="38" t="e">
        <f>BS34-#REF!</f>
        <v>#REF!</v>
      </c>
      <c r="BT75" s="38" t="e">
        <f>BT34-#REF!</f>
        <v>#REF!</v>
      </c>
      <c r="BU75" s="38" t="e">
        <f>BU34-#REF!</f>
        <v>#REF!</v>
      </c>
    </row>
    <row r="76" spans="13:73" hidden="1" x14ac:dyDescent="0.2">
      <c r="M76" s="38" t="e">
        <f>M35-#REF!</f>
        <v>#REF!</v>
      </c>
      <c r="N76" s="38" t="e">
        <f>N35-#REF!</f>
        <v>#REF!</v>
      </c>
      <c r="O76" s="38" t="e">
        <f>O35-#REF!</f>
        <v>#REF!</v>
      </c>
      <c r="P76" s="38" t="e">
        <f>P35-#REF!</f>
        <v>#REF!</v>
      </c>
      <c r="Q76" s="38" t="e">
        <f>Q35-#REF!</f>
        <v>#REF!</v>
      </c>
      <c r="R76" s="38" t="e">
        <f>R35-#REF!</f>
        <v>#REF!</v>
      </c>
      <c r="S76" s="38" t="e">
        <f>S35-#REF!</f>
        <v>#REF!</v>
      </c>
      <c r="T76" s="38" t="e">
        <f>T35-#REF!</f>
        <v>#REF!</v>
      </c>
      <c r="U76" s="38" t="e">
        <f>U35-#REF!</f>
        <v>#REF!</v>
      </c>
      <c r="V76" s="38" t="e">
        <f>V35-#REF!</f>
        <v>#REF!</v>
      </c>
      <c r="W76" s="38" t="e">
        <f>W35-#REF!</f>
        <v>#REF!</v>
      </c>
      <c r="X76" s="38" t="e">
        <f>X35-#REF!</f>
        <v>#REF!</v>
      </c>
      <c r="Y76" s="38" t="e">
        <f>Y35-#REF!</f>
        <v>#REF!</v>
      </c>
      <c r="Z76" s="38" t="e">
        <f>Z35-#REF!</f>
        <v>#REF!</v>
      </c>
      <c r="AA76" s="38" t="e">
        <f>AA35-#REF!</f>
        <v>#REF!</v>
      </c>
      <c r="AB76" s="38" t="e">
        <f>AB35-#REF!</f>
        <v>#REF!</v>
      </c>
      <c r="AC76" s="38" t="e">
        <f>AC35-#REF!</f>
        <v>#REF!</v>
      </c>
      <c r="AD76" s="38" t="e">
        <f>AD35-#REF!</f>
        <v>#REF!</v>
      </c>
      <c r="AE76" s="38" t="e">
        <f>AE35-#REF!</f>
        <v>#REF!</v>
      </c>
      <c r="AF76" s="38" t="e">
        <f>AF35-#REF!</f>
        <v>#REF!</v>
      </c>
      <c r="AG76" s="38" t="e">
        <f>AG35-#REF!</f>
        <v>#REF!</v>
      </c>
      <c r="AH76" s="38" t="e">
        <f>AH35-#REF!</f>
        <v>#REF!</v>
      </c>
      <c r="AI76" s="38" t="e">
        <f>AI35-#REF!</f>
        <v>#REF!</v>
      </c>
      <c r="AJ76" s="38" t="e">
        <f>AJ35-#REF!</f>
        <v>#REF!</v>
      </c>
      <c r="AK76" s="38" t="e">
        <f>AK35-#REF!</f>
        <v>#REF!</v>
      </c>
      <c r="AL76" s="38" t="e">
        <f>AL35-#REF!</f>
        <v>#REF!</v>
      </c>
      <c r="AM76" s="38" t="e">
        <f>AM35-#REF!</f>
        <v>#REF!</v>
      </c>
      <c r="AN76" s="38" t="e">
        <f>AN35-#REF!</f>
        <v>#REF!</v>
      </c>
      <c r="AO76" s="38" t="e">
        <f>AO35-#REF!</f>
        <v>#REF!</v>
      </c>
      <c r="AP76" s="38" t="e">
        <f>AP35-#REF!</f>
        <v>#REF!</v>
      </c>
      <c r="AQ76" s="38" t="e">
        <f>AQ35-#REF!</f>
        <v>#REF!</v>
      </c>
      <c r="AR76" s="38" t="e">
        <f>AR35-#REF!</f>
        <v>#REF!</v>
      </c>
      <c r="AS76" s="38" t="e">
        <f>AS35-#REF!</f>
        <v>#REF!</v>
      </c>
      <c r="AT76" s="38" t="e">
        <f>AT35-#REF!</f>
        <v>#REF!</v>
      </c>
      <c r="AU76" s="38" t="e">
        <f>AU35-#REF!</f>
        <v>#REF!</v>
      </c>
      <c r="AV76" s="38" t="e">
        <f>AV35-#REF!</f>
        <v>#REF!</v>
      </c>
      <c r="AW76" s="38" t="e">
        <f>AW35-#REF!</f>
        <v>#REF!</v>
      </c>
      <c r="AX76" s="38" t="e">
        <f>AX35-#REF!</f>
        <v>#REF!</v>
      </c>
      <c r="AY76" s="38" t="e">
        <f>AY35-#REF!</f>
        <v>#REF!</v>
      </c>
      <c r="AZ76" s="38" t="e">
        <f>AZ35-#REF!</f>
        <v>#REF!</v>
      </c>
      <c r="BA76" s="38" t="e">
        <f>BA35-#REF!</f>
        <v>#REF!</v>
      </c>
      <c r="BB76" s="38" t="e">
        <f>BB35-#REF!</f>
        <v>#REF!</v>
      </c>
      <c r="BC76" s="38" t="e">
        <f>BC35-#REF!</f>
        <v>#REF!</v>
      </c>
      <c r="BD76" s="38" t="e">
        <f>BD35-#REF!</f>
        <v>#REF!</v>
      </c>
      <c r="BE76" s="38" t="e">
        <f>BE35-#REF!</f>
        <v>#REF!</v>
      </c>
      <c r="BF76" s="38" t="e">
        <f>BF35-#REF!</f>
        <v>#REF!</v>
      </c>
      <c r="BG76" s="38" t="e">
        <f>BG35-#REF!</f>
        <v>#REF!</v>
      </c>
      <c r="BH76" s="38" t="e">
        <f>BH35-#REF!</f>
        <v>#REF!</v>
      </c>
      <c r="BI76" s="38" t="e">
        <f>BI35-#REF!</f>
        <v>#REF!</v>
      </c>
      <c r="BJ76" s="38" t="e">
        <f>BJ35-#REF!</f>
        <v>#REF!</v>
      </c>
      <c r="BK76" s="38" t="e">
        <f>BK35-#REF!</f>
        <v>#REF!</v>
      </c>
      <c r="BL76" s="38" t="e">
        <f>BL35-#REF!</f>
        <v>#REF!</v>
      </c>
      <c r="BM76" s="38" t="e">
        <f>BM35-#REF!</f>
        <v>#REF!</v>
      </c>
      <c r="BN76" s="38" t="e">
        <f>BN35-#REF!</f>
        <v>#REF!</v>
      </c>
      <c r="BO76" s="38" t="e">
        <f>BO35-#REF!</f>
        <v>#REF!</v>
      </c>
      <c r="BP76" s="38" t="e">
        <f>BP35-#REF!</f>
        <v>#REF!</v>
      </c>
      <c r="BQ76" s="38" t="e">
        <f>BQ35-#REF!</f>
        <v>#REF!</v>
      </c>
      <c r="BR76" s="38" t="e">
        <f>BR35-#REF!</f>
        <v>#REF!</v>
      </c>
      <c r="BS76" s="38" t="e">
        <f>BS35-#REF!</f>
        <v>#REF!</v>
      </c>
      <c r="BT76" s="38" t="e">
        <f>BT35-#REF!</f>
        <v>#REF!</v>
      </c>
      <c r="BU76" s="38" t="e">
        <f>BU35-#REF!</f>
        <v>#REF!</v>
      </c>
    </row>
    <row r="77" spans="13:73" hidden="1" x14ac:dyDescent="0.2">
      <c r="M77" s="38" t="e">
        <f>M36-#REF!</f>
        <v>#REF!</v>
      </c>
      <c r="N77" s="38" t="e">
        <f>N36-#REF!</f>
        <v>#REF!</v>
      </c>
      <c r="O77" s="38" t="e">
        <f>O36-#REF!</f>
        <v>#REF!</v>
      </c>
      <c r="P77" s="38" t="e">
        <f>P36-#REF!</f>
        <v>#REF!</v>
      </c>
      <c r="Q77" s="38" t="e">
        <f>Q36-#REF!</f>
        <v>#REF!</v>
      </c>
      <c r="R77" s="38" t="e">
        <f>R36-#REF!</f>
        <v>#REF!</v>
      </c>
      <c r="S77" s="38" t="e">
        <f>S36-#REF!</f>
        <v>#REF!</v>
      </c>
      <c r="T77" s="38" t="e">
        <f>T36-#REF!</f>
        <v>#REF!</v>
      </c>
      <c r="U77" s="38" t="e">
        <f>U36-#REF!</f>
        <v>#REF!</v>
      </c>
      <c r="V77" s="38" t="e">
        <f>V36-#REF!</f>
        <v>#REF!</v>
      </c>
      <c r="W77" s="38" t="e">
        <f>W36-#REF!</f>
        <v>#REF!</v>
      </c>
      <c r="X77" s="38" t="e">
        <f>X36-#REF!</f>
        <v>#REF!</v>
      </c>
      <c r="Y77" s="38" t="e">
        <f>Y36-#REF!</f>
        <v>#REF!</v>
      </c>
      <c r="Z77" s="38" t="e">
        <f>Z36-#REF!</f>
        <v>#REF!</v>
      </c>
      <c r="AA77" s="38" t="e">
        <f>AA36-#REF!</f>
        <v>#REF!</v>
      </c>
      <c r="AB77" s="38" t="e">
        <f>AB36-#REF!</f>
        <v>#REF!</v>
      </c>
      <c r="AC77" s="38" t="e">
        <f>AC36-#REF!</f>
        <v>#REF!</v>
      </c>
      <c r="AD77" s="38" t="e">
        <f>AD36-#REF!</f>
        <v>#REF!</v>
      </c>
      <c r="AE77" s="38" t="e">
        <f>AE36-#REF!</f>
        <v>#REF!</v>
      </c>
      <c r="AF77" s="38" t="e">
        <f>AF36-#REF!</f>
        <v>#REF!</v>
      </c>
      <c r="AG77" s="38" t="e">
        <f>AG36-#REF!</f>
        <v>#REF!</v>
      </c>
      <c r="AH77" s="38" t="e">
        <f>AH36-#REF!</f>
        <v>#REF!</v>
      </c>
      <c r="AI77" s="38" t="e">
        <f>AI36-#REF!</f>
        <v>#REF!</v>
      </c>
      <c r="AJ77" s="38" t="e">
        <f>AJ36-#REF!</f>
        <v>#REF!</v>
      </c>
      <c r="AK77" s="38" t="e">
        <f>AK36-#REF!</f>
        <v>#REF!</v>
      </c>
      <c r="AL77" s="38" t="e">
        <f>AL36-#REF!</f>
        <v>#REF!</v>
      </c>
      <c r="AM77" s="38" t="e">
        <f>AM36-#REF!</f>
        <v>#REF!</v>
      </c>
      <c r="AN77" s="38" t="e">
        <f>AN36-#REF!</f>
        <v>#REF!</v>
      </c>
      <c r="AO77" s="38" t="e">
        <f>AO36-#REF!</f>
        <v>#REF!</v>
      </c>
      <c r="AP77" s="38" t="e">
        <f>AP36-#REF!</f>
        <v>#REF!</v>
      </c>
      <c r="AQ77" s="38" t="e">
        <f>AQ36-#REF!</f>
        <v>#REF!</v>
      </c>
      <c r="AR77" s="38" t="e">
        <f>AR36-#REF!</f>
        <v>#REF!</v>
      </c>
      <c r="AS77" s="38" t="e">
        <f>AS36-#REF!</f>
        <v>#REF!</v>
      </c>
      <c r="AT77" s="38" t="e">
        <f>AT36-#REF!</f>
        <v>#REF!</v>
      </c>
      <c r="AU77" s="38" t="e">
        <f>AU36-#REF!</f>
        <v>#REF!</v>
      </c>
      <c r="AV77" s="38" t="e">
        <f>AV36-#REF!</f>
        <v>#REF!</v>
      </c>
      <c r="AW77" s="38" t="e">
        <f>AW36-#REF!</f>
        <v>#REF!</v>
      </c>
      <c r="AX77" s="38" t="e">
        <f>AX36-#REF!</f>
        <v>#REF!</v>
      </c>
      <c r="AY77" s="38" t="e">
        <f>AY36-#REF!</f>
        <v>#REF!</v>
      </c>
      <c r="AZ77" s="38" t="e">
        <f>AZ36-#REF!</f>
        <v>#REF!</v>
      </c>
      <c r="BA77" s="38" t="e">
        <f>BA36-#REF!</f>
        <v>#REF!</v>
      </c>
      <c r="BB77" s="38" t="e">
        <f>BB36-#REF!</f>
        <v>#REF!</v>
      </c>
      <c r="BC77" s="38" t="e">
        <f>BC36-#REF!</f>
        <v>#REF!</v>
      </c>
      <c r="BD77" s="38" t="e">
        <f>BD36-#REF!</f>
        <v>#REF!</v>
      </c>
      <c r="BE77" s="38" t="e">
        <f>BE36-#REF!</f>
        <v>#REF!</v>
      </c>
      <c r="BF77" s="38" t="e">
        <f>BF36-#REF!</f>
        <v>#REF!</v>
      </c>
      <c r="BG77" s="38" t="e">
        <f>BG36-#REF!</f>
        <v>#REF!</v>
      </c>
      <c r="BH77" s="38" t="e">
        <f>BH36-#REF!</f>
        <v>#REF!</v>
      </c>
      <c r="BI77" s="38" t="e">
        <f>BI36-#REF!</f>
        <v>#REF!</v>
      </c>
      <c r="BJ77" s="38" t="e">
        <f>BJ36-#REF!</f>
        <v>#REF!</v>
      </c>
      <c r="BK77" s="38" t="e">
        <f>BK36-#REF!</f>
        <v>#REF!</v>
      </c>
      <c r="BL77" s="38" t="e">
        <f>BL36-#REF!</f>
        <v>#REF!</v>
      </c>
      <c r="BM77" s="38" t="e">
        <f>BM36-#REF!</f>
        <v>#REF!</v>
      </c>
      <c r="BN77" s="38" t="e">
        <f>BN36-#REF!</f>
        <v>#REF!</v>
      </c>
      <c r="BO77" s="38" t="e">
        <f>BO36-#REF!</f>
        <v>#REF!</v>
      </c>
      <c r="BP77" s="38" t="e">
        <f>BP36-#REF!</f>
        <v>#REF!</v>
      </c>
      <c r="BQ77" s="38" t="e">
        <f>BQ36-#REF!</f>
        <v>#REF!</v>
      </c>
      <c r="BR77" s="38" t="e">
        <f>BR36-#REF!</f>
        <v>#REF!</v>
      </c>
      <c r="BS77" s="38" t="e">
        <f>BS36-#REF!</f>
        <v>#REF!</v>
      </c>
      <c r="BT77" s="38" t="e">
        <f>BT36-#REF!</f>
        <v>#REF!</v>
      </c>
      <c r="BU77" s="38" t="e">
        <f>BU36-#REF!</f>
        <v>#REF!</v>
      </c>
    </row>
    <row r="78" spans="13:73" hidden="1" x14ac:dyDescent="0.2">
      <c r="M78" s="38" t="e">
        <f>M37-#REF!</f>
        <v>#REF!</v>
      </c>
      <c r="N78" s="38" t="e">
        <f>N37-#REF!</f>
        <v>#REF!</v>
      </c>
      <c r="O78" s="38" t="e">
        <f>O37-#REF!</f>
        <v>#REF!</v>
      </c>
      <c r="P78" s="38" t="e">
        <f>P37-#REF!</f>
        <v>#REF!</v>
      </c>
      <c r="Q78" s="38" t="e">
        <f>Q37-#REF!</f>
        <v>#REF!</v>
      </c>
      <c r="R78" s="38" t="e">
        <f>R37-#REF!</f>
        <v>#REF!</v>
      </c>
      <c r="S78" s="38" t="e">
        <f>S37-#REF!</f>
        <v>#REF!</v>
      </c>
      <c r="T78" s="38" t="e">
        <f>T37-#REF!</f>
        <v>#REF!</v>
      </c>
      <c r="U78" s="38" t="e">
        <f>U37-#REF!</f>
        <v>#REF!</v>
      </c>
      <c r="V78" s="38" t="e">
        <f>V37-#REF!</f>
        <v>#REF!</v>
      </c>
      <c r="W78" s="38" t="e">
        <f>W37-#REF!</f>
        <v>#REF!</v>
      </c>
      <c r="X78" s="38" t="e">
        <f>X37-#REF!</f>
        <v>#REF!</v>
      </c>
      <c r="Y78" s="38" t="e">
        <f>Y37-#REF!</f>
        <v>#REF!</v>
      </c>
      <c r="Z78" s="38" t="e">
        <f>Z37-#REF!</f>
        <v>#REF!</v>
      </c>
      <c r="AA78" s="38" t="e">
        <f>AA37-#REF!</f>
        <v>#REF!</v>
      </c>
      <c r="AB78" s="38" t="e">
        <f>AB37-#REF!</f>
        <v>#REF!</v>
      </c>
      <c r="AC78" s="38" t="e">
        <f>AC37-#REF!</f>
        <v>#REF!</v>
      </c>
      <c r="AD78" s="38" t="e">
        <f>AD37-#REF!</f>
        <v>#REF!</v>
      </c>
      <c r="AE78" s="38" t="e">
        <f>AE37-#REF!</f>
        <v>#REF!</v>
      </c>
      <c r="AF78" s="38" t="e">
        <f>AF37-#REF!</f>
        <v>#REF!</v>
      </c>
      <c r="AG78" s="38" t="e">
        <f>AG37-#REF!</f>
        <v>#REF!</v>
      </c>
      <c r="AH78" s="38" t="e">
        <f>AH37-#REF!</f>
        <v>#REF!</v>
      </c>
      <c r="AI78" s="38" t="e">
        <f>AI37-#REF!</f>
        <v>#REF!</v>
      </c>
      <c r="AJ78" s="38" t="e">
        <f>AJ37-#REF!</f>
        <v>#REF!</v>
      </c>
      <c r="AK78" s="38" t="e">
        <f>AK37-#REF!</f>
        <v>#REF!</v>
      </c>
      <c r="AL78" s="38" t="e">
        <f>AL37-#REF!</f>
        <v>#REF!</v>
      </c>
      <c r="AM78" s="38" t="e">
        <f>AM37-#REF!</f>
        <v>#REF!</v>
      </c>
      <c r="AN78" s="38" t="e">
        <f>AN37-#REF!</f>
        <v>#REF!</v>
      </c>
      <c r="AO78" s="38" t="e">
        <f>AO37-#REF!</f>
        <v>#REF!</v>
      </c>
      <c r="AP78" s="38" t="e">
        <f>AP37-#REF!</f>
        <v>#REF!</v>
      </c>
      <c r="AQ78" s="38" t="e">
        <f>AQ37-#REF!</f>
        <v>#REF!</v>
      </c>
      <c r="AR78" s="38" t="e">
        <f>AR37-#REF!</f>
        <v>#REF!</v>
      </c>
      <c r="AS78" s="38" t="e">
        <f>AS37-#REF!</f>
        <v>#REF!</v>
      </c>
      <c r="AT78" s="38" t="e">
        <f>AT37-#REF!</f>
        <v>#REF!</v>
      </c>
      <c r="AU78" s="38" t="e">
        <f>AU37-#REF!</f>
        <v>#REF!</v>
      </c>
      <c r="AV78" s="38" t="e">
        <f>AV37-#REF!</f>
        <v>#REF!</v>
      </c>
      <c r="AW78" s="38" t="e">
        <f>AW37-#REF!</f>
        <v>#REF!</v>
      </c>
      <c r="AX78" s="38" t="e">
        <f>AX37-#REF!</f>
        <v>#REF!</v>
      </c>
      <c r="AY78" s="38" t="e">
        <f>AY37-#REF!</f>
        <v>#REF!</v>
      </c>
      <c r="AZ78" s="38" t="e">
        <f>AZ37-#REF!</f>
        <v>#REF!</v>
      </c>
      <c r="BA78" s="38" t="e">
        <f>BA37-#REF!</f>
        <v>#REF!</v>
      </c>
      <c r="BB78" s="38" t="e">
        <f>BB37-#REF!</f>
        <v>#REF!</v>
      </c>
      <c r="BC78" s="38" t="e">
        <f>BC37-#REF!</f>
        <v>#REF!</v>
      </c>
      <c r="BD78" s="38" t="e">
        <f>BD37-#REF!</f>
        <v>#REF!</v>
      </c>
      <c r="BE78" s="38" t="e">
        <f>BE37-#REF!</f>
        <v>#REF!</v>
      </c>
      <c r="BF78" s="38" t="e">
        <f>BF37-#REF!</f>
        <v>#REF!</v>
      </c>
      <c r="BG78" s="38" t="e">
        <f>BG37-#REF!</f>
        <v>#REF!</v>
      </c>
      <c r="BH78" s="38" t="e">
        <f>BH37-#REF!</f>
        <v>#REF!</v>
      </c>
      <c r="BI78" s="38" t="e">
        <f>BI37-#REF!</f>
        <v>#REF!</v>
      </c>
      <c r="BJ78" s="38" t="e">
        <f>BJ37-#REF!</f>
        <v>#REF!</v>
      </c>
      <c r="BK78" s="38" t="e">
        <f>BK37-#REF!</f>
        <v>#REF!</v>
      </c>
      <c r="BL78" s="38" t="e">
        <f>BL37-#REF!</f>
        <v>#REF!</v>
      </c>
      <c r="BM78" s="38" t="e">
        <f>BM37-#REF!</f>
        <v>#REF!</v>
      </c>
      <c r="BN78" s="38" t="e">
        <f>BN37-#REF!</f>
        <v>#REF!</v>
      </c>
      <c r="BO78" s="38" t="e">
        <f>BO37-#REF!</f>
        <v>#REF!</v>
      </c>
      <c r="BP78" s="38" t="e">
        <f>BP37-#REF!</f>
        <v>#REF!</v>
      </c>
      <c r="BQ78" s="38" t="e">
        <f>BQ37-#REF!</f>
        <v>#REF!</v>
      </c>
      <c r="BR78" s="38" t="e">
        <f>BR37-#REF!</f>
        <v>#REF!</v>
      </c>
      <c r="BS78" s="38" t="e">
        <f>BS37-#REF!</f>
        <v>#REF!</v>
      </c>
      <c r="BT78" s="38" t="e">
        <f>BT37-#REF!</f>
        <v>#REF!</v>
      </c>
      <c r="BU78" s="38" t="e">
        <f>BU37-#REF!</f>
        <v>#REF!</v>
      </c>
    </row>
    <row r="79" spans="13:73" hidden="1" x14ac:dyDescent="0.2">
      <c r="M79" s="38" t="e">
        <f>M38-#REF!</f>
        <v>#REF!</v>
      </c>
      <c r="N79" s="38" t="e">
        <f>N38-#REF!</f>
        <v>#REF!</v>
      </c>
      <c r="O79" s="38" t="e">
        <f>O38-#REF!</f>
        <v>#REF!</v>
      </c>
      <c r="P79" s="38" t="e">
        <f>P38-#REF!</f>
        <v>#REF!</v>
      </c>
      <c r="Q79" s="38" t="e">
        <f>Q38-#REF!</f>
        <v>#REF!</v>
      </c>
      <c r="R79" s="38" t="e">
        <f>R38-#REF!</f>
        <v>#REF!</v>
      </c>
      <c r="S79" s="38" t="e">
        <f>S38-#REF!</f>
        <v>#REF!</v>
      </c>
      <c r="T79" s="38" t="e">
        <f>T38-#REF!</f>
        <v>#REF!</v>
      </c>
      <c r="U79" s="38" t="e">
        <f>U38-#REF!</f>
        <v>#REF!</v>
      </c>
      <c r="V79" s="38" t="e">
        <f>V38-#REF!</f>
        <v>#REF!</v>
      </c>
      <c r="W79" s="38" t="e">
        <f>W38-#REF!</f>
        <v>#REF!</v>
      </c>
      <c r="X79" s="38" t="e">
        <f>X38-#REF!</f>
        <v>#REF!</v>
      </c>
      <c r="Y79" s="38" t="e">
        <f>Y38-#REF!</f>
        <v>#REF!</v>
      </c>
      <c r="Z79" s="38" t="e">
        <f>Z38-#REF!</f>
        <v>#REF!</v>
      </c>
      <c r="AA79" s="38" t="e">
        <f>AA38-#REF!</f>
        <v>#REF!</v>
      </c>
      <c r="AB79" s="38" t="e">
        <f>AB38-#REF!</f>
        <v>#REF!</v>
      </c>
      <c r="AC79" s="38" t="e">
        <f>AC38-#REF!</f>
        <v>#REF!</v>
      </c>
      <c r="AD79" s="38" t="e">
        <f>AD38-#REF!</f>
        <v>#REF!</v>
      </c>
      <c r="AE79" s="38" t="e">
        <f>AE38-#REF!</f>
        <v>#REF!</v>
      </c>
      <c r="AF79" s="38" t="e">
        <f>AF38-#REF!</f>
        <v>#REF!</v>
      </c>
      <c r="AG79" s="38" t="e">
        <f>AG38-#REF!</f>
        <v>#REF!</v>
      </c>
      <c r="AH79" s="38" t="e">
        <f>AH38-#REF!</f>
        <v>#REF!</v>
      </c>
      <c r="AI79" s="38" t="e">
        <f>AI38-#REF!</f>
        <v>#REF!</v>
      </c>
      <c r="AJ79" s="38" t="e">
        <f>AJ38-#REF!</f>
        <v>#REF!</v>
      </c>
      <c r="AK79" s="38" t="e">
        <f>AK38-#REF!</f>
        <v>#REF!</v>
      </c>
      <c r="AL79" s="38" t="e">
        <f>AL38-#REF!</f>
        <v>#REF!</v>
      </c>
      <c r="AM79" s="38" t="e">
        <f>AM38-#REF!</f>
        <v>#REF!</v>
      </c>
      <c r="AN79" s="38" t="e">
        <f>AN38-#REF!</f>
        <v>#REF!</v>
      </c>
      <c r="AO79" s="38" t="e">
        <f>AO38-#REF!</f>
        <v>#REF!</v>
      </c>
      <c r="AP79" s="38" t="e">
        <f>AP38-#REF!</f>
        <v>#REF!</v>
      </c>
      <c r="AQ79" s="38" t="e">
        <f>AQ38-#REF!</f>
        <v>#REF!</v>
      </c>
      <c r="AR79" s="38" t="e">
        <f>AR38-#REF!</f>
        <v>#REF!</v>
      </c>
      <c r="AS79" s="38" t="e">
        <f>AS38-#REF!</f>
        <v>#REF!</v>
      </c>
      <c r="AT79" s="38" t="e">
        <f>AT38-#REF!</f>
        <v>#REF!</v>
      </c>
      <c r="AU79" s="38" t="e">
        <f>AU38-#REF!</f>
        <v>#REF!</v>
      </c>
      <c r="AV79" s="38" t="e">
        <f>AV38-#REF!</f>
        <v>#REF!</v>
      </c>
      <c r="AW79" s="38" t="e">
        <f>AW38-#REF!</f>
        <v>#REF!</v>
      </c>
      <c r="AX79" s="38" t="e">
        <f>AX38-#REF!</f>
        <v>#REF!</v>
      </c>
      <c r="AY79" s="38" t="e">
        <f>AY38-#REF!</f>
        <v>#REF!</v>
      </c>
      <c r="AZ79" s="38" t="e">
        <f>AZ38-#REF!</f>
        <v>#REF!</v>
      </c>
      <c r="BA79" s="38" t="e">
        <f>BA38-#REF!</f>
        <v>#REF!</v>
      </c>
      <c r="BB79" s="38" t="e">
        <f>BB38-#REF!</f>
        <v>#REF!</v>
      </c>
      <c r="BC79" s="38" t="e">
        <f>BC38-#REF!</f>
        <v>#REF!</v>
      </c>
      <c r="BD79" s="38" t="e">
        <f>BD38-#REF!</f>
        <v>#REF!</v>
      </c>
      <c r="BE79" s="38" t="e">
        <f>BE38-#REF!</f>
        <v>#REF!</v>
      </c>
      <c r="BF79" s="38" t="e">
        <f>BF38-#REF!</f>
        <v>#REF!</v>
      </c>
      <c r="BG79" s="38" t="e">
        <f>BG38-#REF!</f>
        <v>#REF!</v>
      </c>
      <c r="BH79" s="38" t="e">
        <f>BH38-#REF!</f>
        <v>#REF!</v>
      </c>
      <c r="BI79" s="38" t="e">
        <f>BI38-#REF!</f>
        <v>#REF!</v>
      </c>
      <c r="BJ79" s="38" t="e">
        <f>BJ38-#REF!</f>
        <v>#REF!</v>
      </c>
      <c r="BK79" s="38" t="e">
        <f>BK38-#REF!</f>
        <v>#REF!</v>
      </c>
      <c r="BL79" s="38" t="e">
        <f>BL38-#REF!</f>
        <v>#REF!</v>
      </c>
      <c r="BM79" s="38" t="e">
        <f>BM38-#REF!</f>
        <v>#REF!</v>
      </c>
      <c r="BN79" s="38" t="e">
        <f>BN38-#REF!</f>
        <v>#REF!</v>
      </c>
      <c r="BO79" s="38" t="e">
        <f>BO38-#REF!</f>
        <v>#REF!</v>
      </c>
      <c r="BP79" s="38" t="e">
        <f>BP38-#REF!</f>
        <v>#REF!</v>
      </c>
      <c r="BQ79" s="38" t="e">
        <f>BQ38-#REF!</f>
        <v>#REF!</v>
      </c>
      <c r="BR79" s="38" t="e">
        <f>BR38-#REF!</f>
        <v>#REF!</v>
      </c>
      <c r="BS79" s="38" t="e">
        <f>BS38-#REF!</f>
        <v>#REF!</v>
      </c>
      <c r="BT79" s="38" t="e">
        <f>BT38-#REF!</f>
        <v>#REF!</v>
      </c>
      <c r="BU79" s="38" t="e">
        <f>BU38-#REF!</f>
        <v>#REF!</v>
      </c>
    </row>
    <row r="80" spans="13:73" hidden="1" x14ac:dyDescent="0.2">
      <c r="M80" s="38" t="e">
        <f>M39-#REF!</f>
        <v>#REF!</v>
      </c>
      <c r="N80" s="38" t="e">
        <f>N39-#REF!</f>
        <v>#REF!</v>
      </c>
      <c r="O80" s="38" t="e">
        <f>O39-#REF!</f>
        <v>#REF!</v>
      </c>
      <c r="P80" s="38" t="e">
        <f>P39-#REF!</f>
        <v>#REF!</v>
      </c>
      <c r="Q80" s="38" t="e">
        <f>Q39-#REF!</f>
        <v>#REF!</v>
      </c>
      <c r="R80" s="38" t="e">
        <f>R39-#REF!</f>
        <v>#REF!</v>
      </c>
      <c r="S80" s="38" t="e">
        <f>S39-#REF!</f>
        <v>#REF!</v>
      </c>
      <c r="T80" s="38" t="e">
        <f>T39-#REF!</f>
        <v>#REF!</v>
      </c>
      <c r="U80" s="38" t="e">
        <f>U39-#REF!</f>
        <v>#REF!</v>
      </c>
      <c r="V80" s="38" t="e">
        <f>V39-#REF!</f>
        <v>#REF!</v>
      </c>
      <c r="W80" s="38" t="e">
        <f>W39-#REF!</f>
        <v>#REF!</v>
      </c>
      <c r="X80" s="38" t="e">
        <f>X39-#REF!</f>
        <v>#REF!</v>
      </c>
      <c r="Y80" s="38" t="e">
        <f>Y39-#REF!</f>
        <v>#REF!</v>
      </c>
      <c r="Z80" s="38" t="e">
        <f>Z39-#REF!</f>
        <v>#REF!</v>
      </c>
      <c r="AA80" s="38" t="e">
        <f>AA39-#REF!</f>
        <v>#REF!</v>
      </c>
      <c r="AB80" s="38" t="e">
        <f>AB39-#REF!</f>
        <v>#REF!</v>
      </c>
      <c r="AC80" s="38" t="e">
        <f>AC39-#REF!</f>
        <v>#REF!</v>
      </c>
      <c r="AD80" s="38" t="e">
        <f>AD39-#REF!</f>
        <v>#REF!</v>
      </c>
      <c r="AE80" s="38" t="e">
        <f>AE39-#REF!</f>
        <v>#REF!</v>
      </c>
      <c r="AF80" s="38" t="e">
        <f>AF39-#REF!</f>
        <v>#REF!</v>
      </c>
      <c r="AG80" s="38" t="e">
        <f>AG39-#REF!</f>
        <v>#REF!</v>
      </c>
      <c r="AH80" s="38" t="e">
        <f>AH39-#REF!</f>
        <v>#REF!</v>
      </c>
      <c r="AI80" s="38" t="e">
        <f>AI39-#REF!</f>
        <v>#REF!</v>
      </c>
      <c r="AJ80" s="38" t="e">
        <f>AJ39-#REF!</f>
        <v>#REF!</v>
      </c>
      <c r="AK80" s="38" t="e">
        <f>AK39-#REF!</f>
        <v>#REF!</v>
      </c>
      <c r="AL80" s="38" t="e">
        <f>AL39-#REF!</f>
        <v>#REF!</v>
      </c>
      <c r="AM80" s="38" t="e">
        <f>AM39-#REF!</f>
        <v>#REF!</v>
      </c>
      <c r="AN80" s="38" t="e">
        <f>AN39-#REF!</f>
        <v>#REF!</v>
      </c>
      <c r="AO80" s="38" t="e">
        <f>AO39-#REF!</f>
        <v>#REF!</v>
      </c>
      <c r="AP80" s="38" t="e">
        <f>AP39-#REF!</f>
        <v>#REF!</v>
      </c>
      <c r="AQ80" s="38" t="e">
        <f>AQ39-#REF!</f>
        <v>#REF!</v>
      </c>
      <c r="AR80" s="38" t="e">
        <f>AR39-#REF!</f>
        <v>#REF!</v>
      </c>
      <c r="AS80" s="38" t="e">
        <f>AS39-#REF!</f>
        <v>#REF!</v>
      </c>
      <c r="AT80" s="38" t="e">
        <f>AT39-#REF!</f>
        <v>#REF!</v>
      </c>
      <c r="AU80" s="38" t="e">
        <f>AU39-#REF!</f>
        <v>#REF!</v>
      </c>
      <c r="AV80" s="38" t="e">
        <f>AV39-#REF!</f>
        <v>#REF!</v>
      </c>
      <c r="AW80" s="38" t="e">
        <f>AW39-#REF!</f>
        <v>#REF!</v>
      </c>
      <c r="AX80" s="38" t="e">
        <f>AX39-#REF!</f>
        <v>#REF!</v>
      </c>
      <c r="AY80" s="38" t="e">
        <f>AY39-#REF!</f>
        <v>#REF!</v>
      </c>
      <c r="AZ80" s="38" t="e">
        <f>AZ39-#REF!</f>
        <v>#REF!</v>
      </c>
      <c r="BA80" s="38" t="e">
        <f>BA39-#REF!</f>
        <v>#REF!</v>
      </c>
      <c r="BB80" s="38" t="e">
        <f>BB39-#REF!</f>
        <v>#REF!</v>
      </c>
      <c r="BC80" s="38" t="e">
        <f>BC39-#REF!</f>
        <v>#REF!</v>
      </c>
      <c r="BD80" s="38" t="e">
        <f>BD39-#REF!</f>
        <v>#REF!</v>
      </c>
      <c r="BE80" s="38" t="e">
        <f>BE39-#REF!</f>
        <v>#REF!</v>
      </c>
      <c r="BF80" s="38" t="e">
        <f>BF39-#REF!</f>
        <v>#REF!</v>
      </c>
      <c r="BG80" s="38" t="e">
        <f>BG39-#REF!</f>
        <v>#REF!</v>
      </c>
      <c r="BH80" s="38" t="e">
        <f>BH39-#REF!</f>
        <v>#REF!</v>
      </c>
      <c r="BI80" s="38" t="e">
        <f>BI39-#REF!</f>
        <v>#REF!</v>
      </c>
      <c r="BJ80" s="38" t="e">
        <f>BJ39-#REF!</f>
        <v>#REF!</v>
      </c>
      <c r="BK80" s="38" t="e">
        <f>BK39-#REF!</f>
        <v>#REF!</v>
      </c>
      <c r="BL80" s="38" t="e">
        <f>BL39-#REF!</f>
        <v>#REF!</v>
      </c>
      <c r="BM80" s="38" t="e">
        <f>BM39-#REF!</f>
        <v>#REF!</v>
      </c>
      <c r="BN80" s="38" t="e">
        <f>BN39-#REF!</f>
        <v>#REF!</v>
      </c>
      <c r="BO80" s="38" t="e">
        <f>BO39-#REF!</f>
        <v>#REF!</v>
      </c>
      <c r="BP80" s="38" t="e">
        <f>BP39-#REF!</f>
        <v>#REF!</v>
      </c>
      <c r="BQ80" s="38" t="e">
        <f>BQ39-#REF!</f>
        <v>#REF!</v>
      </c>
      <c r="BR80" s="38" t="e">
        <f>BR39-#REF!</f>
        <v>#REF!</v>
      </c>
      <c r="BS80" s="38" t="e">
        <f>BS39-#REF!</f>
        <v>#REF!</v>
      </c>
      <c r="BT80" s="38" t="e">
        <f>BT39-#REF!</f>
        <v>#REF!</v>
      </c>
      <c r="BU80" s="38" t="e">
        <f>BU39-#REF!</f>
        <v>#REF!</v>
      </c>
    </row>
    <row r="81" spans="13:73" hidden="1" x14ac:dyDescent="0.2">
      <c r="M81" s="38" t="e">
        <f>M40-#REF!</f>
        <v>#REF!</v>
      </c>
      <c r="N81" s="38" t="e">
        <f>N40-#REF!</f>
        <v>#REF!</v>
      </c>
      <c r="O81" s="38" t="e">
        <f>O40-#REF!</f>
        <v>#REF!</v>
      </c>
      <c r="P81" s="38" t="e">
        <f>P40-#REF!</f>
        <v>#REF!</v>
      </c>
      <c r="Q81" s="38" t="e">
        <f>Q40-#REF!</f>
        <v>#REF!</v>
      </c>
      <c r="R81" s="38" t="e">
        <f>R40-#REF!</f>
        <v>#REF!</v>
      </c>
      <c r="S81" s="38" t="e">
        <f>S40-#REF!</f>
        <v>#REF!</v>
      </c>
      <c r="T81" s="38" t="e">
        <f>T40-#REF!</f>
        <v>#REF!</v>
      </c>
      <c r="U81" s="38" t="e">
        <f>U40-#REF!</f>
        <v>#REF!</v>
      </c>
      <c r="V81" s="38" t="e">
        <f>V40-#REF!</f>
        <v>#REF!</v>
      </c>
      <c r="W81" s="38" t="e">
        <f>W40-#REF!</f>
        <v>#REF!</v>
      </c>
      <c r="X81" s="38" t="e">
        <f>X40-#REF!</f>
        <v>#REF!</v>
      </c>
      <c r="Y81" s="38" t="e">
        <f>Y40-#REF!</f>
        <v>#REF!</v>
      </c>
      <c r="Z81" s="38" t="e">
        <f>Z40-#REF!</f>
        <v>#REF!</v>
      </c>
      <c r="AA81" s="38" t="e">
        <f>AA40-#REF!</f>
        <v>#REF!</v>
      </c>
      <c r="AB81" s="38" t="e">
        <f>AB40-#REF!</f>
        <v>#REF!</v>
      </c>
      <c r="AC81" s="38" t="e">
        <f>AC40-#REF!</f>
        <v>#REF!</v>
      </c>
      <c r="AD81" s="38" t="e">
        <f>AD40-#REF!</f>
        <v>#REF!</v>
      </c>
      <c r="AE81" s="38" t="e">
        <f>AE40-#REF!</f>
        <v>#REF!</v>
      </c>
      <c r="AF81" s="38" t="e">
        <f>AF40-#REF!</f>
        <v>#REF!</v>
      </c>
      <c r="AG81" s="38" t="e">
        <f>AG40-#REF!</f>
        <v>#REF!</v>
      </c>
      <c r="AH81" s="38" t="e">
        <f>AH40-#REF!</f>
        <v>#REF!</v>
      </c>
      <c r="AI81" s="38" t="e">
        <f>AI40-#REF!</f>
        <v>#REF!</v>
      </c>
      <c r="AJ81" s="38" t="e">
        <f>AJ40-#REF!</f>
        <v>#REF!</v>
      </c>
      <c r="AK81" s="38" t="e">
        <f>AK40-#REF!</f>
        <v>#REF!</v>
      </c>
      <c r="AL81" s="38" t="e">
        <f>AL40-#REF!</f>
        <v>#REF!</v>
      </c>
      <c r="AM81" s="38" t="e">
        <f>AM40-#REF!</f>
        <v>#REF!</v>
      </c>
      <c r="AN81" s="38" t="e">
        <f>AN40-#REF!</f>
        <v>#REF!</v>
      </c>
      <c r="AO81" s="38" t="e">
        <f>AO40-#REF!</f>
        <v>#REF!</v>
      </c>
      <c r="AP81" s="38" t="e">
        <f>AP40-#REF!</f>
        <v>#REF!</v>
      </c>
      <c r="AQ81" s="38" t="e">
        <f>AQ40-#REF!</f>
        <v>#REF!</v>
      </c>
      <c r="AR81" s="38" t="e">
        <f>AR40-#REF!</f>
        <v>#REF!</v>
      </c>
      <c r="AS81" s="38" t="e">
        <f>AS40-#REF!</f>
        <v>#REF!</v>
      </c>
      <c r="AT81" s="38" t="e">
        <f>AT40-#REF!</f>
        <v>#REF!</v>
      </c>
      <c r="AU81" s="38" t="e">
        <f>AU40-#REF!</f>
        <v>#REF!</v>
      </c>
      <c r="AV81" s="38" t="e">
        <f>AV40-#REF!</f>
        <v>#REF!</v>
      </c>
      <c r="AW81" s="38" t="e">
        <f>AW40-#REF!</f>
        <v>#REF!</v>
      </c>
      <c r="AX81" s="38" t="e">
        <f>AX40-#REF!</f>
        <v>#REF!</v>
      </c>
      <c r="AY81" s="38" t="e">
        <f>AY40-#REF!</f>
        <v>#REF!</v>
      </c>
      <c r="AZ81" s="38" t="e">
        <f>AZ40-#REF!</f>
        <v>#REF!</v>
      </c>
      <c r="BA81" s="38" t="e">
        <f>BA40-#REF!</f>
        <v>#REF!</v>
      </c>
      <c r="BB81" s="38" t="e">
        <f>BB40-#REF!</f>
        <v>#REF!</v>
      </c>
      <c r="BC81" s="38" t="e">
        <f>BC40-#REF!</f>
        <v>#REF!</v>
      </c>
      <c r="BD81" s="38" t="e">
        <f>BD40-#REF!</f>
        <v>#REF!</v>
      </c>
      <c r="BE81" s="38" t="e">
        <f>BE40-#REF!</f>
        <v>#REF!</v>
      </c>
      <c r="BF81" s="38" t="e">
        <f>BF40-#REF!</f>
        <v>#REF!</v>
      </c>
      <c r="BG81" s="38" t="e">
        <f>BG40-#REF!</f>
        <v>#REF!</v>
      </c>
      <c r="BH81" s="38" t="e">
        <f>BH40-#REF!</f>
        <v>#REF!</v>
      </c>
      <c r="BI81" s="38" t="e">
        <f>BI40-#REF!</f>
        <v>#REF!</v>
      </c>
      <c r="BJ81" s="38" t="e">
        <f>BJ40-#REF!</f>
        <v>#REF!</v>
      </c>
      <c r="BK81" s="38" t="e">
        <f>BK40-#REF!</f>
        <v>#REF!</v>
      </c>
      <c r="BL81" s="38" t="e">
        <f>BL40-#REF!</f>
        <v>#REF!</v>
      </c>
      <c r="BM81" s="38" t="e">
        <f>BM40-#REF!</f>
        <v>#REF!</v>
      </c>
      <c r="BN81" s="38" t="e">
        <f>BN40-#REF!</f>
        <v>#REF!</v>
      </c>
      <c r="BO81" s="38" t="e">
        <f>BO40-#REF!</f>
        <v>#REF!</v>
      </c>
      <c r="BP81" s="38" t="e">
        <f>BP40-#REF!</f>
        <v>#REF!</v>
      </c>
      <c r="BQ81" s="38" t="e">
        <f>BQ40-#REF!</f>
        <v>#REF!</v>
      </c>
      <c r="BR81" s="38" t="e">
        <f>BR40-#REF!</f>
        <v>#REF!</v>
      </c>
      <c r="BS81" s="38" t="e">
        <f>BS40-#REF!</f>
        <v>#REF!</v>
      </c>
      <c r="BT81" s="38" t="e">
        <f>BT40-#REF!</f>
        <v>#REF!</v>
      </c>
      <c r="BU81" s="38" t="e">
        <f>BU40-#REF!</f>
        <v>#REF!</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3" hidden="1" x14ac:dyDescent="0.2"/>
    <row r="98" spans="13:13" hidden="1" x14ac:dyDescent="0.2"/>
    <row r="99" spans="13:13" hidden="1" x14ac:dyDescent="0.2"/>
    <row r="100" spans="13:13" hidden="1" x14ac:dyDescent="0.2"/>
    <row r="101" spans="13:13" hidden="1" x14ac:dyDescent="0.2"/>
    <row r="102" spans="13:13" hidden="1" x14ac:dyDescent="0.2"/>
    <row r="103" spans="13:13" hidden="1" x14ac:dyDescent="0.2"/>
    <row r="104" spans="13:13" hidden="1" x14ac:dyDescent="0.2"/>
    <row r="106" spans="13:13" x14ac:dyDescent="0.2">
      <c r="M106" s="512"/>
    </row>
  </sheetData>
  <mergeCells count="2">
    <mergeCell ref="H8:BU8"/>
    <mergeCell ref="D41:BU41"/>
  </mergeCells>
  <pageMargins left="0.7" right="0.7" top="0.75" bottom="0.75" header="0.3" footer="0.3"/>
  <pageSetup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4"/>
  <sheetViews>
    <sheetView view="pageBreakPreview" topLeftCell="A37" zoomScale="112" zoomScaleNormal="100" zoomScaleSheetLayoutView="112" workbookViewId="0">
      <selection activeCell="K25" sqref="K25"/>
    </sheetView>
  </sheetViews>
  <sheetFormatPr defaultColWidth="8.85546875" defaultRowHeight="12.75" x14ac:dyDescent="0.2"/>
  <cols>
    <col min="1" max="1" width="1.7109375" style="16" customWidth="1"/>
    <col min="2" max="2" width="3" style="16" customWidth="1"/>
    <col min="3" max="4" width="1.85546875" style="16" customWidth="1"/>
    <col min="5" max="5" width="55.85546875" style="16" customWidth="1"/>
    <col min="6" max="6" width="4.7109375" style="444" customWidth="1"/>
    <col min="7" max="8" width="15.7109375" style="16" customWidth="1"/>
    <col min="9" max="9" width="16.28515625" style="16" customWidth="1"/>
    <col min="10" max="13" width="15.7109375" style="16" customWidth="1"/>
    <col min="14" max="14" width="15.7109375" style="16" hidden="1" customWidth="1"/>
    <col min="15" max="15" width="15.85546875" style="16" hidden="1" customWidth="1"/>
    <col min="16" max="16" width="14.42578125" style="16" hidden="1" customWidth="1"/>
    <col min="17" max="17" width="15.7109375" style="16" hidden="1" customWidth="1"/>
    <col min="18" max="19" width="11.28515625" style="16" hidden="1" customWidth="1"/>
    <col min="20" max="20" width="15.7109375" style="16" customWidth="1"/>
    <col min="21" max="21" width="3" style="16" customWidth="1"/>
    <col min="22" max="22" width="1.7109375" style="16" customWidth="1"/>
    <col min="23" max="23" width="16.42578125" style="16" hidden="1" customWidth="1"/>
    <col min="24" max="24" width="12.5703125" style="16" hidden="1" customWidth="1"/>
    <col min="25" max="25" width="9.85546875" style="16" customWidth="1"/>
    <col min="26" max="26" width="12.85546875" style="16" hidden="1" customWidth="1"/>
    <col min="27" max="31" width="8.85546875" style="16" customWidth="1"/>
    <col min="32" max="16384" width="8.85546875" style="16"/>
  </cols>
  <sheetData>
    <row r="1" spans="1:26" x14ac:dyDescent="0.2">
      <c r="B1" s="39"/>
      <c r="C1" s="39"/>
      <c r="D1" s="39"/>
      <c r="E1" s="377"/>
      <c r="F1" s="378"/>
      <c r="G1" s="39"/>
      <c r="H1" s="39"/>
      <c r="I1" s="39"/>
      <c r="J1" s="39"/>
      <c r="K1" s="39"/>
      <c r="L1" s="39"/>
      <c r="M1" s="39"/>
      <c r="N1" s="379"/>
      <c r="O1" s="379"/>
      <c r="P1" s="39"/>
      <c r="Q1" s="379"/>
      <c r="R1" s="380"/>
      <c r="S1" s="39"/>
      <c r="T1" s="381"/>
      <c r="U1" s="39"/>
    </row>
    <row r="2" spans="1:26" x14ac:dyDescent="0.2">
      <c r="A2" s="39"/>
      <c r="B2" s="39"/>
      <c r="C2" s="39"/>
      <c r="D2" s="39"/>
      <c r="E2" s="39"/>
      <c r="F2" s="114"/>
      <c r="G2" s="39"/>
      <c r="H2" s="39"/>
      <c r="I2" s="39"/>
      <c r="J2" s="39"/>
      <c r="K2" s="379"/>
      <c r="L2" s="380"/>
      <c r="M2" s="380"/>
      <c r="N2" s="379"/>
      <c r="O2" s="382"/>
      <c r="P2" s="39"/>
      <c r="Q2" s="379"/>
      <c r="R2" s="39"/>
      <c r="S2" s="39"/>
      <c r="T2" s="383"/>
      <c r="U2" s="39"/>
      <c r="V2" s="39"/>
    </row>
    <row r="3" spans="1:26" x14ac:dyDescent="0.2">
      <c r="A3" s="39"/>
      <c r="B3" s="39"/>
      <c r="C3" s="39"/>
      <c r="D3" s="39"/>
      <c r="E3" s="39"/>
      <c r="F3" s="114"/>
      <c r="G3" s="39"/>
      <c r="H3" s="39"/>
      <c r="I3" s="39"/>
      <c r="J3" s="39"/>
      <c r="K3" s="384"/>
      <c r="L3" s="380"/>
      <c r="M3" s="385"/>
      <c r="N3" s="379"/>
      <c r="O3" s="380"/>
      <c r="P3" s="380"/>
      <c r="Q3" s="380"/>
      <c r="R3" s="380"/>
      <c r="S3" s="380"/>
      <c r="T3" s="380"/>
      <c r="U3" s="39"/>
      <c r="V3" s="39"/>
    </row>
    <row r="4" spans="1:26" x14ac:dyDescent="0.2">
      <c r="A4" s="39"/>
      <c r="B4" s="39"/>
      <c r="D4" s="39"/>
      <c r="E4" s="39"/>
      <c r="F4" s="114"/>
      <c r="G4" s="39"/>
      <c r="H4" s="39"/>
      <c r="I4" s="39"/>
      <c r="J4" s="39"/>
      <c r="K4" s="39"/>
      <c r="L4" s="39"/>
      <c r="M4" s="39"/>
      <c r="N4" s="39"/>
      <c r="O4" s="39"/>
      <c r="P4" s="39"/>
      <c r="Q4" s="39"/>
      <c r="R4" s="39"/>
      <c r="S4" s="39"/>
      <c r="T4" s="377"/>
      <c r="U4" s="39"/>
      <c r="V4" s="39"/>
    </row>
    <row r="5" spans="1:26" ht="15.75" x14ac:dyDescent="0.25">
      <c r="A5" s="39"/>
      <c r="B5" s="39"/>
      <c r="C5" s="6" t="s">
        <v>547</v>
      </c>
      <c r="D5" s="39"/>
      <c r="E5" s="39"/>
      <c r="F5" s="114"/>
      <c r="G5" s="39"/>
      <c r="H5" s="39"/>
      <c r="I5" s="39"/>
      <c r="J5" s="39"/>
      <c r="K5" s="39"/>
      <c r="L5" s="39"/>
      <c r="M5" s="39"/>
      <c r="N5" s="39"/>
      <c r="O5" s="39"/>
      <c r="P5" s="39"/>
      <c r="Q5" s="39"/>
      <c r="R5" s="39"/>
      <c r="S5" s="39"/>
      <c r="T5" s="39"/>
      <c r="U5" s="39"/>
      <c r="V5" s="39"/>
      <c r="W5" s="38"/>
    </row>
    <row r="6" spans="1:26" x14ac:dyDescent="0.2">
      <c r="A6" s="39"/>
      <c r="B6" s="386"/>
      <c r="C6" s="387"/>
      <c r="D6" s="388"/>
      <c r="E6" s="388"/>
      <c r="F6" s="389"/>
      <c r="G6" s="721" t="s">
        <v>3</v>
      </c>
      <c r="H6" s="733"/>
      <c r="I6" s="733"/>
      <c r="J6" s="733"/>
      <c r="K6" s="733"/>
      <c r="L6" s="733"/>
      <c r="M6" s="733"/>
      <c r="N6" s="733"/>
      <c r="O6" s="733"/>
      <c r="P6" s="733"/>
      <c r="Q6" s="733"/>
      <c r="R6" s="733"/>
      <c r="S6" s="733"/>
      <c r="T6" s="734"/>
      <c r="U6" s="19"/>
      <c r="V6" s="39"/>
    </row>
    <row r="7" spans="1:26" ht="15.75" customHeight="1" x14ac:dyDescent="0.2">
      <c r="A7" s="39"/>
      <c r="B7" s="386"/>
      <c r="C7" s="17"/>
      <c r="D7" s="7"/>
      <c r="E7" s="7"/>
      <c r="F7" s="391"/>
      <c r="G7" s="392" t="str">
        <f>[14]summary!$H$9</f>
        <v>Budget</v>
      </c>
      <c r="H7" s="302" t="s">
        <v>6</v>
      </c>
      <c r="I7" s="302" t="s">
        <v>7</v>
      </c>
      <c r="J7" s="302" t="s">
        <v>8</v>
      </c>
      <c r="K7" s="302" t="s">
        <v>9</v>
      </c>
      <c r="L7" s="291" t="s">
        <v>10</v>
      </c>
      <c r="M7" s="291" t="s">
        <v>11</v>
      </c>
      <c r="N7" s="302" t="s">
        <v>12</v>
      </c>
      <c r="O7" s="291" t="s">
        <v>13</v>
      </c>
      <c r="P7" s="302" t="s">
        <v>14</v>
      </c>
      <c r="Q7" s="291" t="s">
        <v>15</v>
      </c>
      <c r="R7" s="302" t="s">
        <v>16</v>
      </c>
      <c r="S7" s="291" t="s">
        <v>17</v>
      </c>
      <c r="T7" s="291" t="s">
        <v>18</v>
      </c>
      <c r="U7" s="19"/>
      <c r="V7" s="39"/>
      <c r="W7" s="385"/>
    </row>
    <row r="8" spans="1:26" x14ac:dyDescent="0.2">
      <c r="A8" s="39"/>
      <c r="B8" s="386"/>
      <c r="C8" s="25" t="s">
        <v>20</v>
      </c>
      <c r="D8" s="26"/>
      <c r="E8" s="26"/>
      <c r="F8" s="393"/>
      <c r="G8" s="394" t="s">
        <v>22</v>
      </c>
      <c r="H8" s="298"/>
      <c r="I8" s="395"/>
      <c r="J8" s="395"/>
      <c r="K8" s="395"/>
      <c r="L8" s="395"/>
      <c r="M8" s="395"/>
      <c r="N8" s="395"/>
      <c r="O8" s="395"/>
      <c r="P8" s="395"/>
      <c r="Q8" s="395"/>
      <c r="R8" s="395"/>
      <c r="S8" s="395"/>
      <c r="T8" s="395"/>
      <c r="U8" s="19"/>
      <c r="V8" s="39"/>
      <c r="W8" s="55"/>
    </row>
    <row r="9" spans="1:26" x14ac:dyDescent="0.2">
      <c r="A9" s="39"/>
      <c r="B9" s="386"/>
      <c r="C9" s="19"/>
      <c r="D9" s="39"/>
      <c r="E9" s="39"/>
      <c r="F9" s="114"/>
      <c r="G9" s="48"/>
      <c r="H9" s="396"/>
      <c r="I9" s="396"/>
      <c r="J9" s="396"/>
      <c r="K9" s="396"/>
      <c r="L9" s="396"/>
      <c r="M9" s="396"/>
      <c r="N9" s="396"/>
      <c r="O9" s="396"/>
      <c r="P9" s="396"/>
      <c r="Q9" s="396"/>
      <c r="R9" s="396"/>
      <c r="S9" s="396"/>
      <c r="T9" s="396"/>
      <c r="U9" s="19"/>
      <c r="V9" s="39"/>
      <c r="W9" s="55"/>
    </row>
    <row r="10" spans="1:26" x14ac:dyDescent="0.2">
      <c r="A10" s="39"/>
      <c r="B10" s="386"/>
      <c r="C10" s="17" t="s">
        <v>548</v>
      </c>
      <c r="D10" s="7"/>
      <c r="E10" s="7"/>
      <c r="F10" s="397" t="s">
        <v>549</v>
      </c>
      <c r="G10" s="398">
        <f>+'[1]Statement 1'!$H$114</f>
        <v>1099513646.5522585</v>
      </c>
      <c r="H10" s="398">
        <f>60646659+[21]original!$G$6</f>
        <v>61883148</v>
      </c>
      <c r="I10" s="398">
        <f>65162652+[22]original!$H$6</f>
        <v>67969792</v>
      </c>
      <c r="J10" s="398">
        <f>104858542+[23]original!$I$6</f>
        <v>108178496</v>
      </c>
      <c r="K10" s="398">
        <f>60475649+[20]original!$J$6</f>
        <v>64025972</v>
      </c>
      <c r="L10" s="398">
        <f>99919009+[24]original!$K$6</f>
        <v>103080516</v>
      </c>
      <c r="M10" s="398">
        <f>105747295+[25]original!$L$6</f>
        <v>107688872</v>
      </c>
      <c r="N10" s="398">
        <v>0</v>
      </c>
      <c r="O10" s="398">
        <v>0</v>
      </c>
      <c r="P10" s="398">
        <v>0</v>
      </c>
      <c r="Q10" s="398">
        <v>0</v>
      </c>
      <c r="R10" s="398">
        <v>0</v>
      </c>
      <c r="S10" s="398">
        <v>0</v>
      </c>
      <c r="T10" s="398">
        <f>SUM(H10:S10)</f>
        <v>512826796</v>
      </c>
      <c r="U10" s="43"/>
      <c r="V10" s="115"/>
      <c r="W10" s="55" t="e">
        <f>#REF!-#REF!</f>
        <v>#REF!</v>
      </c>
      <c r="X10" s="38" t="e">
        <f>SUM(#REF!)-#REF!</f>
        <v>#REF!</v>
      </c>
      <c r="Z10" s="385"/>
    </row>
    <row r="11" spans="1:26" x14ac:dyDescent="0.2">
      <c r="A11" s="39"/>
      <c r="B11" s="386"/>
      <c r="C11" s="17"/>
      <c r="D11" s="7"/>
      <c r="E11" s="7"/>
      <c r="F11" s="114"/>
      <c r="G11" s="399"/>
      <c r="H11" s="398"/>
      <c r="I11" s="398"/>
      <c r="J11" s="398"/>
      <c r="K11" s="398"/>
      <c r="L11" s="398"/>
      <c r="M11" s="398"/>
      <c r="N11" s="398"/>
      <c r="O11" s="398"/>
      <c r="P11" s="398"/>
      <c r="Q11" s="398"/>
      <c r="R11" s="398"/>
      <c r="S11" s="398"/>
      <c r="T11" s="398"/>
      <c r="U11" s="43"/>
      <c r="V11" s="115"/>
      <c r="W11" s="55"/>
      <c r="X11" s="38"/>
    </row>
    <row r="12" spans="1:26" x14ac:dyDescent="0.2">
      <c r="A12" s="39"/>
      <c r="B12" s="386"/>
      <c r="C12" s="17" t="s">
        <v>550</v>
      </c>
      <c r="D12" s="7"/>
      <c r="E12" s="7"/>
      <c r="F12" s="397" t="s">
        <v>551</v>
      </c>
      <c r="G12" s="399">
        <f>+G14+G16+G23+G24+G25+G26+G28</f>
        <v>1809175080</v>
      </c>
      <c r="H12" s="399">
        <f>147198355-[21]original!$G$40</f>
        <v>147198373</v>
      </c>
      <c r="I12" s="399">
        <f>119561760-[22]original!$H$40</f>
        <v>119673094</v>
      </c>
      <c r="J12" s="399">
        <f>134004037-[23]original!$I$40</f>
        <v>134004039</v>
      </c>
      <c r="K12" s="399">
        <f>159426148-[20]original!$J$40</f>
        <v>159426148</v>
      </c>
      <c r="L12" s="399">
        <f>203163670-[24]original!$K$40</f>
        <v>203163671</v>
      </c>
      <c r="M12" s="399">
        <f>140138852-[25]original!$L$40</f>
        <v>140205112</v>
      </c>
      <c r="N12" s="399">
        <v>0</v>
      </c>
      <c r="O12" s="399">
        <v>0</v>
      </c>
      <c r="P12" s="399">
        <v>0</v>
      </c>
      <c r="Q12" s="399">
        <v>0</v>
      </c>
      <c r="R12" s="399">
        <v>0</v>
      </c>
      <c r="S12" s="399">
        <v>0</v>
      </c>
      <c r="T12" s="399">
        <f>SUM(H12:S12)</f>
        <v>903670437</v>
      </c>
      <c r="U12" s="43"/>
      <c r="V12" s="161"/>
      <c r="W12" s="400" t="e">
        <f>#REF!-#REF!</f>
        <v>#REF!</v>
      </c>
      <c r="X12" s="38" t="e">
        <f>SUM(#REF!)-#REF!</f>
        <v>#REF!</v>
      </c>
      <c r="Z12" s="385"/>
    </row>
    <row r="13" spans="1:26" x14ac:dyDescent="0.2">
      <c r="A13" s="39"/>
      <c r="B13" s="386"/>
      <c r="C13" s="19"/>
      <c r="D13" s="39"/>
      <c r="E13" s="39"/>
      <c r="F13" s="114"/>
      <c r="G13" s="401"/>
      <c r="H13" s="402"/>
      <c r="I13" s="402"/>
      <c r="J13" s="402"/>
      <c r="K13" s="402"/>
      <c r="L13" s="402"/>
      <c r="M13" s="402"/>
      <c r="N13" s="403"/>
      <c r="O13" s="402"/>
      <c r="P13" s="402"/>
      <c r="Q13" s="402"/>
      <c r="R13" s="402"/>
      <c r="S13" s="402"/>
      <c r="T13" s="402"/>
      <c r="U13" s="43"/>
      <c r="V13" s="115"/>
      <c r="W13" s="55"/>
      <c r="X13" s="38"/>
      <c r="Y13" s="55"/>
    </row>
    <row r="14" spans="1:26" x14ac:dyDescent="0.2">
      <c r="A14" s="39"/>
      <c r="B14" s="386"/>
      <c r="C14" s="19"/>
      <c r="D14" s="39" t="s">
        <v>552</v>
      </c>
      <c r="E14" s="39"/>
      <c r="F14" s="397" t="s">
        <v>553</v>
      </c>
      <c r="G14" s="401">
        <f>+'[7]20-21'!$I$48</f>
        <v>987653947</v>
      </c>
      <c r="H14" s="401">
        <f>+H12-H16-H23</f>
        <v>96157178.437030002</v>
      </c>
      <c r="I14" s="402">
        <f>+I12-I16-I23</f>
        <v>70971442.12861</v>
      </c>
      <c r="J14" s="402">
        <f>+J12-J16-J23</f>
        <v>65195759.902989998</v>
      </c>
      <c r="K14" s="402">
        <f t="shared" ref="K14:M14" si="0">+K12-K16-K23</f>
        <v>81267378</v>
      </c>
      <c r="L14" s="402">
        <f t="shared" si="0"/>
        <v>122129101</v>
      </c>
      <c r="M14" s="402">
        <f t="shared" si="0"/>
        <v>74871798</v>
      </c>
      <c r="N14" s="402">
        <f>+N12-N16-N23</f>
        <v>0</v>
      </c>
      <c r="O14" s="402">
        <f t="shared" ref="O14:S14" si="1">+O12-O16-O23</f>
        <v>0</v>
      </c>
      <c r="P14" s="402">
        <f t="shared" si="1"/>
        <v>0</v>
      </c>
      <c r="Q14" s="402">
        <f t="shared" si="1"/>
        <v>0</v>
      </c>
      <c r="R14" s="402">
        <f t="shared" si="1"/>
        <v>0</v>
      </c>
      <c r="S14" s="402">
        <f t="shared" si="1"/>
        <v>0</v>
      </c>
      <c r="T14" s="403">
        <f>SUM(H14:S14)</f>
        <v>510592657.46863002</v>
      </c>
      <c r="U14" s="43"/>
      <c r="V14" s="115"/>
      <c r="W14" s="55" t="e">
        <f>#REF!-#REF!</f>
        <v>#REF!</v>
      </c>
      <c r="X14" s="38" t="e">
        <f>SUM(#REF!)-#REF!</f>
        <v>#REF!</v>
      </c>
    </row>
    <row r="15" spans="1:26" x14ac:dyDescent="0.2">
      <c r="A15" s="39"/>
      <c r="B15" s="386"/>
      <c r="C15" s="19"/>
      <c r="D15" s="39"/>
      <c r="E15" s="39"/>
      <c r="F15" s="114"/>
      <c r="G15" s="401"/>
      <c r="H15" s="402"/>
      <c r="I15" s="402"/>
      <c r="J15" s="402"/>
      <c r="K15" s="402"/>
      <c r="L15" s="402"/>
      <c r="M15" s="402"/>
      <c r="N15" s="403"/>
      <c r="O15" s="402"/>
      <c r="P15" s="402"/>
      <c r="Q15" s="402"/>
      <c r="R15" s="402"/>
      <c r="S15" s="402"/>
      <c r="T15" s="402"/>
      <c r="U15" s="43"/>
      <c r="V15" s="115"/>
      <c r="W15" s="55"/>
      <c r="X15" s="38"/>
    </row>
    <row r="16" spans="1:26" s="24" customFormat="1" x14ac:dyDescent="0.2">
      <c r="A16" s="7"/>
      <c r="B16" s="405"/>
      <c r="C16" s="17"/>
      <c r="D16" s="7" t="s">
        <v>554</v>
      </c>
      <c r="E16" s="7"/>
      <c r="F16" s="391"/>
      <c r="G16" s="406">
        <f>SUM(G17:G21)</f>
        <v>804731807</v>
      </c>
      <c r="H16" s="407">
        <f t="shared" ref="H16:S16" si="2">SUM(H17:H21)</f>
        <v>51041194.562969998</v>
      </c>
      <c r="I16" s="407">
        <f t="shared" si="2"/>
        <v>48701651.87139</v>
      </c>
      <c r="J16" s="407">
        <f t="shared" si="2"/>
        <v>68808279.097010002</v>
      </c>
      <c r="K16" s="407">
        <f t="shared" si="2"/>
        <v>78158770</v>
      </c>
      <c r="L16" s="407">
        <f t="shared" si="2"/>
        <v>81034570</v>
      </c>
      <c r="M16" s="407">
        <f t="shared" si="2"/>
        <v>65333314</v>
      </c>
      <c r="N16" s="398">
        <f t="shared" si="2"/>
        <v>0</v>
      </c>
      <c r="O16" s="407">
        <f t="shared" si="2"/>
        <v>0</v>
      </c>
      <c r="P16" s="407">
        <f t="shared" si="2"/>
        <v>0</v>
      </c>
      <c r="Q16" s="407">
        <f t="shared" si="2"/>
        <v>0</v>
      </c>
      <c r="R16" s="407">
        <f>SUM(R17:R21)</f>
        <v>0</v>
      </c>
      <c r="S16" s="407">
        <f t="shared" si="2"/>
        <v>0</v>
      </c>
      <c r="T16" s="407">
        <f>SUM(T17:T21)</f>
        <v>393077779.53136998</v>
      </c>
      <c r="U16" s="85"/>
      <c r="V16" s="290"/>
      <c r="W16" s="55" t="e">
        <f>#REF!-#REF!</f>
        <v>#REF!</v>
      </c>
      <c r="X16" s="38" t="e">
        <f>SUM(#REF!)-#REF!</f>
        <v>#REF!</v>
      </c>
    </row>
    <row r="17" spans="1:26" x14ac:dyDescent="0.2">
      <c r="A17" s="39"/>
      <c r="B17" s="386"/>
      <c r="C17" s="19"/>
      <c r="D17" s="39"/>
      <c r="E17" s="39" t="s">
        <v>27</v>
      </c>
      <c r="F17" s="408"/>
      <c r="G17" s="401">
        <f>+'[7]20-21'!$I$53</f>
        <v>236444437</v>
      </c>
      <c r="H17" s="402">
        <f>+'[43]April 2020'!$G$92/1000</f>
        <v>4206399.5629699994</v>
      </c>
      <c r="I17" s="402">
        <f>+'[44]May 2020'!$F$92/1000</f>
        <v>1879102.8713900005</v>
      </c>
      <c r="J17" s="402">
        <f>+'[44]June 2020'!$F$92/1000</f>
        <v>22441442.097009998</v>
      </c>
      <c r="K17" s="402">
        <v>31925505</v>
      </c>
      <c r="L17" s="402">
        <v>31148936</v>
      </c>
      <c r="M17" s="402">
        <v>20070544</v>
      </c>
      <c r="N17" s="403">
        <v>0</v>
      </c>
      <c r="O17" s="402">
        <v>0</v>
      </c>
      <c r="P17" s="402">
        <v>0</v>
      </c>
      <c r="Q17" s="402">
        <v>0</v>
      </c>
      <c r="R17" s="402">
        <v>0</v>
      </c>
      <c r="S17" s="402">
        <v>0</v>
      </c>
      <c r="T17" s="403">
        <f>SUM(H17:S17)</f>
        <v>111671929.53137</v>
      </c>
      <c r="U17" s="43"/>
      <c r="V17" s="115"/>
      <c r="W17" s="55" t="e">
        <f>#REF!-#REF!</f>
        <v>#REF!</v>
      </c>
      <c r="X17" s="38" t="e">
        <f>SUM(#REF!)-#REF!</f>
        <v>#REF!</v>
      </c>
      <c r="Y17" s="38"/>
    </row>
    <row r="18" spans="1:26" x14ac:dyDescent="0.2">
      <c r="A18" s="39"/>
      <c r="B18" s="386"/>
      <c r="C18" s="19"/>
      <c r="D18" s="39"/>
      <c r="E18" s="39" t="s">
        <v>28</v>
      </c>
      <c r="F18" s="378"/>
      <c r="G18" s="401">
        <f>+'[7]20-21'!$I$56</f>
        <v>538471528</v>
      </c>
      <c r="H18" s="402">
        <f>+'[43]April 2020'!$F$80/1000</f>
        <v>44872627</v>
      </c>
      <c r="I18" s="402">
        <f>+'[44]May 2020'!$F$80/1000</f>
        <v>44872627</v>
      </c>
      <c r="J18" s="402">
        <f>+'[44]June 2020'!$F$80/1000</f>
        <v>44872627</v>
      </c>
      <c r="K18" s="402">
        <v>44872627</v>
      </c>
      <c r="L18" s="402">
        <v>44872627</v>
      </c>
      <c r="M18" s="402">
        <v>44872627</v>
      </c>
      <c r="N18" s="403">
        <v>0</v>
      </c>
      <c r="O18" s="402">
        <v>0</v>
      </c>
      <c r="P18" s="402">
        <v>0</v>
      </c>
      <c r="Q18" s="402">
        <v>0</v>
      </c>
      <c r="R18" s="402">
        <v>0</v>
      </c>
      <c r="S18" s="402">
        <v>0</v>
      </c>
      <c r="T18" s="403">
        <f>SUM(H18:S18)</f>
        <v>269235762</v>
      </c>
      <c r="U18" s="43"/>
      <c r="V18" s="115"/>
      <c r="W18" s="55" t="e">
        <f>#REF!-#REF!</f>
        <v>#REF!</v>
      </c>
      <c r="X18" s="38" t="e">
        <f>SUM(#REF!)-#REF!</f>
        <v>#REF!</v>
      </c>
      <c r="Y18" s="38"/>
      <c r="Z18" s="38"/>
    </row>
    <row r="19" spans="1:26" ht="14.45" customHeight="1" x14ac:dyDescent="0.2">
      <c r="A19" s="39"/>
      <c r="B19" s="386"/>
      <c r="C19" s="19"/>
      <c r="D19" s="39"/>
      <c r="E19" s="39" t="s">
        <v>29</v>
      </c>
      <c r="F19" s="114"/>
      <c r="G19" s="401">
        <f>+'[7]20-21'!$I$57</f>
        <v>14026878</v>
      </c>
      <c r="H19" s="402">
        <v>0</v>
      </c>
      <c r="I19" s="402">
        <f>+'[44]May 2020'!$F$60</f>
        <v>0</v>
      </c>
      <c r="J19" s="402">
        <v>0</v>
      </c>
      <c r="K19" s="402">
        <v>0</v>
      </c>
      <c r="L19" s="402">
        <v>4675628</v>
      </c>
      <c r="M19" s="402">
        <v>0</v>
      </c>
      <c r="N19" s="403">
        <v>0</v>
      </c>
      <c r="O19" s="402">
        <v>0</v>
      </c>
      <c r="P19" s="402">
        <v>0</v>
      </c>
      <c r="Q19" s="402">
        <v>0</v>
      </c>
      <c r="R19" s="402">
        <v>0</v>
      </c>
      <c r="S19" s="402">
        <v>0</v>
      </c>
      <c r="T19" s="403">
        <f>SUM(H19:S19)</f>
        <v>4675628</v>
      </c>
      <c r="U19" s="43"/>
      <c r="V19" s="115"/>
      <c r="W19" s="55" t="e">
        <f>#REF!-#REF!</f>
        <v>#REF!</v>
      </c>
      <c r="X19" s="38" t="e">
        <f>SUM(#REF!)-#REF!</f>
        <v>#REF!</v>
      </c>
      <c r="Y19" s="38"/>
    </row>
    <row r="20" spans="1:26" ht="14.45" customHeight="1" x14ac:dyDescent="0.2">
      <c r="A20" s="39"/>
      <c r="B20" s="386"/>
      <c r="C20" s="19"/>
      <c r="D20" s="39"/>
      <c r="E20" s="39" t="s">
        <v>555</v>
      </c>
      <c r="F20" s="114"/>
      <c r="G20" s="401">
        <f>+'[7]20-21'!$I$60</f>
        <v>11290516</v>
      </c>
      <c r="H20" s="402">
        <f>+'[43]April 2020'!$F$63/1000</f>
        <v>1617743</v>
      </c>
      <c r="I20" s="402">
        <f>+'[44]May 2020'!$F$63/1000</f>
        <v>1617741</v>
      </c>
      <c r="J20" s="402">
        <f>+'[44]June 2020'!$F$63/1000</f>
        <v>1118322</v>
      </c>
      <c r="K20" s="402">
        <v>1017741</v>
      </c>
      <c r="L20" s="402">
        <v>0</v>
      </c>
      <c r="M20" s="402">
        <v>0</v>
      </c>
      <c r="N20" s="403">
        <v>0</v>
      </c>
      <c r="O20" s="402">
        <v>0</v>
      </c>
      <c r="P20" s="402">
        <v>0</v>
      </c>
      <c r="Q20" s="402">
        <v>0</v>
      </c>
      <c r="R20" s="402">
        <v>0</v>
      </c>
      <c r="S20" s="402">
        <v>0</v>
      </c>
      <c r="T20" s="403">
        <f>SUM(H20:S20)</f>
        <v>5371547</v>
      </c>
      <c r="U20" s="43"/>
      <c r="V20" s="115"/>
      <c r="W20" s="55" t="e">
        <f>#REF!-#REF!</f>
        <v>#REF!</v>
      </c>
      <c r="X20" s="38" t="e">
        <f>SUM(#REF!)-#REF!</f>
        <v>#REF!</v>
      </c>
      <c r="Y20" s="38"/>
    </row>
    <row r="21" spans="1:26" x14ac:dyDescent="0.2">
      <c r="A21" s="39"/>
      <c r="B21" s="386"/>
      <c r="C21" s="19"/>
      <c r="D21" s="39"/>
      <c r="E21" s="39" t="s">
        <v>33</v>
      </c>
      <c r="F21" s="114"/>
      <c r="G21" s="401">
        <f>+'[7]20-21'!$I$51+'[7]20-21'!$I$52+'[7]20-21'!$I$59+'[7]20-21'!$I$61+'[7]20-21'!$I$62+'[7]20-21'!$I$63+'[7]20-21'!$I$58</f>
        <v>4498448</v>
      </c>
      <c r="H21" s="402">
        <f>(+'[43]April 2020'!$F$58+'[43]April 2020'!$F$59+'[43]April 2020'!$F$60+'[43]April 2020'!$F$61+'[43]April 2020'!$F$62+'[43]April 2020'!$F$64+'[43]April 2020'!$F$65+'[43]April 2020'!$F$66)/1000</f>
        <v>344425</v>
      </c>
      <c r="I21" s="402">
        <f>(+'[44]May 2020'!$F$58+'[44]May 2020'!$F$59+'[44]May 2020'!$F$60+'[44]May 2020'!$F$61+'[44]May 2020'!$F$62+'[44]May 2020'!$F$64+'[44]May 2020'!$F$65+'[44]May 2020'!$F$66)/1000</f>
        <v>332181</v>
      </c>
      <c r="J21" s="402">
        <f>(+'[44]June 2020'!$F$58+'[44]June 2020'!$F$59+'[44]June 2020'!$F$60+'[44]June 2020'!$F$64+'[44]June 2020'!$F$65+'[44]June 2020'!$F$66+'[44]June 2020'!$F$62+'[44]June 2020'!$F$61)/1000</f>
        <v>375888</v>
      </c>
      <c r="K21" s="402">
        <v>342897</v>
      </c>
      <c r="L21" s="402">
        <f>650+42263+203497+90969</f>
        <v>337379</v>
      </c>
      <c r="M21" s="402">
        <v>390143</v>
      </c>
      <c r="N21" s="403">
        <v>0</v>
      </c>
      <c r="O21" s="402">
        <v>0</v>
      </c>
      <c r="P21" s="402">
        <v>0</v>
      </c>
      <c r="Q21" s="402">
        <v>0</v>
      </c>
      <c r="R21" s="402">
        <v>0</v>
      </c>
      <c r="S21" s="402">
        <v>0</v>
      </c>
      <c r="T21" s="403">
        <f>SUM(H21:S21)</f>
        <v>2122913</v>
      </c>
      <c r="U21" s="43"/>
      <c r="V21" s="115"/>
      <c r="W21" s="55" t="e">
        <f>#REF!-#REF!</f>
        <v>#REF!</v>
      </c>
      <c r="X21" s="38" t="e">
        <f>SUM(#REF!)-#REF!</f>
        <v>#REF!</v>
      </c>
      <c r="Y21" s="38"/>
    </row>
    <row r="22" spans="1:26" x14ac:dyDescent="0.2">
      <c r="A22" s="39"/>
      <c r="B22" s="386"/>
      <c r="C22" s="39"/>
      <c r="D22" s="7"/>
      <c r="E22" s="39"/>
      <c r="F22" s="114"/>
      <c r="G22" s="406"/>
      <c r="H22" s="407"/>
      <c r="I22" s="407"/>
      <c r="J22" s="407"/>
      <c r="K22" s="407"/>
      <c r="L22" s="407"/>
      <c r="M22" s="407"/>
      <c r="N22" s="398"/>
      <c r="O22" s="407"/>
      <c r="P22" s="407"/>
      <c r="Q22" s="407"/>
      <c r="R22" s="407"/>
      <c r="S22" s="407"/>
      <c r="T22" s="407"/>
      <c r="U22" s="43"/>
      <c r="V22" s="115"/>
      <c r="W22" s="55"/>
      <c r="X22" s="38"/>
    </row>
    <row r="23" spans="1:26" x14ac:dyDescent="0.2">
      <c r="A23" s="39"/>
      <c r="B23" s="386"/>
      <c r="C23" s="39"/>
      <c r="D23" s="16" t="str">
        <f>+'[8]20-21'!$A$65</f>
        <v>Provisional allocation for contingencies not assigned to votes</v>
      </c>
      <c r="E23" s="39"/>
      <c r="F23" s="114"/>
      <c r="G23" s="401">
        <f>+'[7]20-21'!$I$65</f>
        <v>7021000</v>
      </c>
      <c r="H23" s="402">
        <v>0</v>
      </c>
      <c r="I23" s="402">
        <v>0</v>
      </c>
      <c r="J23" s="402">
        <v>0</v>
      </c>
      <c r="K23" s="402">
        <v>0</v>
      </c>
      <c r="L23" s="402">
        <v>0</v>
      </c>
      <c r="M23" s="402">
        <v>0</v>
      </c>
      <c r="N23" s="403">
        <v>0</v>
      </c>
      <c r="O23" s="402">
        <v>0</v>
      </c>
      <c r="P23" s="402">
        <v>0</v>
      </c>
      <c r="Q23" s="402">
        <v>0</v>
      </c>
      <c r="R23" s="402">
        <v>0</v>
      </c>
      <c r="S23" s="402">
        <v>0</v>
      </c>
      <c r="T23" s="402">
        <f>SUM(H23:S23)</f>
        <v>0</v>
      </c>
      <c r="U23" s="43"/>
      <c r="V23" s="115"/>
      <c r="W23" s="55" t="e">
        <f>#REF!-#REF!</f>
        <v>#REF!</v>
      </c>
      <c r="X23" s="38" t="e">
        <f>SUM(#REF!)-#REF!</f>
        <v>#REF!</v>
      </c>
    </row>
    <row r="24" spans="1:26" x14ac:dyDescent="0.2">
      <c r="A24" s="39"/>
      <c r="B24" s="386"/>
      <c r="C24" s="39"/>
      <c r="D24" s="16" t="str">
        <f>+'[8]20-21'!$A$66</f>
        <v xml:space="preserve">Provisional allocation for Eskom restructuring </v>
      </c>
      <c r="E24" s="39"/>
      <c r="F24" s="114"/>
      <c r="G24" s="401">
        <f>+'[7]20-21'!$I$66</f>
        <v>23000000</v>
      </c>
      <c r="H24" s="402">
        <v>0</v>
      </c>
      <c r="I24" s="402">
        <v>0</v>
      </c>
      <c r="J24" s="402">
        <v>0</v>
      </c>
      <c r="K24" s="402">
        <v>0</v>
      </c>
      <c r="L24" s="402">
        <v>0</v>
      </c>
      <c r="M24" s="402">
        <v>0</v>
      </c>
      <c r="N24" s="403">
        <v>0</v>
      </c>
      <c r="O24" s="402">
        <v>0</v>
      </c>
      <c r="P24" s="402"/>
      <c r="Q24" s="402"/>
      <c r="R24" s="402"/>
      <c r="S24" s="402"/>
      <c r="T24" s="402">
        <f>SUM(H24:S24)</f>
        <v>0</v>
      </c>
      <c r="U24" s="43"/>
      <c r="V24" s="115"/>
      <c r="W24" s="55" t="e">
        <f>#REF!-#REF!</f>
        <v>#REF!</v>
      </c>
      <c r="X24" s="38" t="e">
        <f>SUM(#REF!)-#REF!</f>
        <v>#REF!</v>
      </c>
    </row>
    <row r="25" spans="1:26" x14ac:dyDescent="0.2">
      <c r="A25" s="39"/>
      <c r="B25" s="386"/>
      <c r="C25" s="39"/>
      <c r="D25" s="16" t="str">
        <f>+'[7]20-21'!$A$67</f>
        <v xml:space="preserve">Provisional allocation for COVID-19 fiscal relief package </v>
      </c>
      <c r="E25" s="39"/>
      <c r="F25" s="114"/>
      <c r="G25" s="401">
        <f>+'[7]20-21'!$I$67</f>
        <v>19575326</v>
      </c>
      <c r="H25" s="402">
        <v>0</v>
      </c>
      <c r="I25" s="402">
        <v>0</v>
      </c>
      <c r="J25" s="402">
        <v>0</v>
      </c>
      <c r="K25" s="402">
        <v>0</v>
      </c>
      <c r="L25" s="402">
        <v>0</v>
      </c>
      <c r="M25" s="402">
        <v>0</v>
      </c>
      <c r="N25" s="403"/>
      <c r="O25" s="402"/>
      <c r="P25" s="402"/>
      <c r="Q25" s="402"/>
      <c r="R25" s="402"/>
      <c r="S25" s="402"/>
      <c r="T25" s="402">
        <f>SUM(H25:S25)</f>
        <v>0</v>
      </c>
      <c r="U25" s="43"/>
      <c r="V25" s="115"/>
      <c r="W25" s="55"/>
      <c r="X25" s="38"/>
    </row>
    <row r="26" spans="1:26" x14ac:dyDescent="0.2">
      <c r="A26" s="39"/>
      <c r="B26" s="386"/>
      <c r="C26" s="39"/>
      <c r="D26" s="16" t="str">
        <f>+'[8]20-21'!$A$67</f>
        <v>Compensation of employees adjustment</v>
      </c>
      <c r="E26" s="39"/>
      <c r="F26" s="114"/>
      <c r="G26" s="401">
        <f>+'[7]20-21'!$I$68</f>
        <v>-37807000</v>
      </c>
      <c r="H26" s="402">
        <v>0</v>
      </c>
      <c r="I26" s="402">
        <v>0</v>
      </c>
      <c r="J26" s="402">
        <v>0</v>
      </c>
      <c r="K26" s="402">
        <v>0</v>
      </c>
      <c r="L26" s="402">
        <v>0</v>
      </c>
      <c r="M26" s="402">
        <v>0</v>
      </c>
      <c r="N26" s="403">
        <v>0</v>
      </c>
      <c r="O26" s="402">
        <v>0</v>
      </c>
      <c r="P26" s="402"/>
      <c r="Q26" s="402"/>
      <c r="R26" s="402"/>
      <c r="S26" s="402"/>
      <c r="T26" s="402">
        <f>SUM(H26:S26)</f>
        <v>0</v>
      </c>
      <c r="U26" s="43"/>
      <c r="V26" s="115"/>
      <c r="W26" s="55" t="e">
        <f>#REF!-#REF!</f>
        <v>#REF!</v>
      </c>
      <c r="X26" s="38" t="e">
        <f>SUM(#REF!)-#REF!</f>
        <v>#REF!</v>
      </c>
    </row>
    <row r="27" spans="1:26" x14ac:dyDescent="0.2">
      <c r="A27" s="39"/>
      <c r="B27" s="386"/>
      <c r="C27" s="39"/>
      <c r="D27" s="24"/>
      <c r="E27" s="39"/>
      <c r="F27" s="114"/>
      <c r="G27" s="406"/>
      <c r="H27" s="402"/>
      <c r="I27" s="402"/>
      <c r="J27" s="402"/>
      <c r="K27" s="402"/>
      <c r="L27" s="402"/>
      <c r="M27" s="402"/>
      <c r="N27" s="403"/>
      <c r="O27" s="402"/>
      <c r="P27" s="402"/>
      <c r="Q27" s="402"/>
      <c r="R27" s="402"/>
      <c r="S27" s="402"/>
      <c r="T27" s="402"/>
      <c r="U27" s="43"/>
      <c r="V27" s="115"/>
      <c r="W27" s="55"/>
      <c r="X27" s="38"/>
    </row>
    <row r="28" spans="1:26" s="24" customFormat="1" x14ac:dyDescent="0.2">
      <c r="A28" s="7"/>
      <c r="B28" s="405"/>
      <c r="C28" s="7"/>
      <c r="D28" s="409" t="str">
        <f>+'[8]20-21'!$A$69</f>
        <v>Contingency reserve</v>
      </c>
      <c r="E28" s="7"/>
      <c r="F28" s="391"/>
      <c r="G28" s="406">
        <f>+'[7]20-21'!$I$70</f>
        <v>5000000</v>
      </c>
      <c r="H28" s="407">
        <v>0</v>
      </c>
      <c r="I28" s="407">
        <v>0</v>
      </c>
      <c r="J28" s="407">
        <v>0</v>
      </c>
      <c r="K28" s="407">
        <v>0</v>
      </c>
      <c r="L28" s="407">
        <v>0</v>
      </c>
      <c r="M28" s="407">
        <v>0</v>
      </c>
      <c r="N28" s="398"/>
      <c r="O28" s="407">
        <v>0</v>
      </c>
      <c r="P28" s="407">
        <v>0</v>
      </c>
      <c r="Q28" s="407">
        <v>0</v>
      </c>
      <c r="R28" s="407">
        <v>0</v>
      </c>
      <c r="S28" s="407">
        <v>0</v>
      </c>
      <c r="T28" s="398">
        <f t="shared" ref="T28" si="3">SUM(H28:S28)</f>
        <v>0</v>
      </c>
      <c r="U28" s="85"/>
      <c r="V28" s="290"/>
      <c r="W28" s="57"/>
      <c r="X28" s="410"/>
    </row>
    <row r="29" spans="1:26" s="24" customFormat="1" x14ac:dyDescent="0.2">
      <c r="A29" s="7"/>
      <c r="B29" s="405"/>
      <c r="C29" s="7"/>
      <c r="D29" s="86"/>
      <c r="E29" s="39"/>
      <c r="F29" s="114"/>
      <c r="G29" s="401"/>
      <c r="H29" s="407"/>
      <c r="I29" s="407"/>
      <c r="J29" s="407"/>
      <c r="K29" s="407"/>
      <c r="L29" s="407"/>
      <c r="M29" s="402"/>
      <c r="N29" s="398"/>
      <c r="O29" s="402"/>
      <c r="P29" s="402"/>
      <c r="Q29" s="402"/>
      <c r="R29" s="407"/>
      <c r="S29" s="407"/>
      <c r="T29" s="403"/>
      <c r="U29" s="85"/>
      <c r="V29" s="290"/>
      <c r="W29" s="55"/>
      <c r="X29" s="38"/>
    </row>
    <row r="30" spans="1:26" s="24" customFormat="1" x14ac:dyDescent="0.2">
      <c r="A30" s="7"/>
      <c r="B30" s="405"/>
      <c r="C30" s="17"/>
      <c r="D30" s="7"/>
      <c r="E30" s="411"/>
      <c r="F30" s="391"/>
      <c r="G30" s="412"/>
      <c r="H30" s="413"/>
      <c r="I30" s="413"/>
      <c r="J30" s="413"/>
      <c r="K30" s="413"/>
      <c r="L30" s="413"/>
      <c r="M30" s="413"/>
      <c r="N30" s="413"/>
      <c r="O30" s="413"/>
      <c r="P30" s="413"/>
      <c r="Q30" s="413"/>
      <c r="R30" s="413"/>
      <c r="S30" s="413"/>
      <c r="T30" s="413"/>
      <c r="U30" s="85"/>
      <c r="V30" s="290"/>
      <c r="W30" s="55"/>
      <c r="X30" s="38"/>
    </row>
    <row r="31" spans="1:26" s="24" customFormat="1" x14ac:dyDescent="0.2">
      <c r="A31" s="7"/>
      <c r="B31" s="405"/>
      <c r="C31" s="17"/>
      <c r="D31" s="7"/>
      <c r="E31" s="7"/>
      <c r="F31" s="391"/>
      <c r="G31" s="399"/>
      <c r="H31" s="398"/>
      <c r="I31" s="398"/>
      <c r="J31" s="398"/>
      <c r="K31" s="398"/>
      <c r="L31" s="398"/>
      <c r="M31" s="398"/>
      <c r="N31" s="398"/>
      <c r="O31" s="398"/>
      <c r="P31" s="398"/>
      <c r="Q31" s="398"/>
      <c r="R31" s="398"/>
      <c r="S31" s="398"/>
      <c r="T31" s="398"/>
      <c r="U31" s="85"/>
      <c r="V31" s="290"/>
      <c r="W31" s="55"/>
      <c r="X31" s="38"/>
    </row>
    <row r="32" spans="1:26" s="24" customFormat="1" x14ac:dyDescent="0.2">
      <c r="A32" s="7"/>
      <c r="B32" s="405"/>
      <c r="C32" s="17" t="s">
        <v>34</v>
      </c>
      <c r="D32" s="7"/>
      <c r="E32" s="7"/>
      <c r="F32" s="391"/>
      <c r="G32" s="399">
        <f>+G10-G12</f>
        <v>-709661433.44774151</v>
      </c>
      <c r="H32" s="398">
        <f>(H10-H12)</f>
        <v>-85315225</v>
      </c>
      <c r="I32" s="398">
        <f>(I10-I12)</f>
        <v>-51703302</v>
      </c>
      <c r="J32" s="398">
        <f>(J10-J12)</f>
        <v>-25825543</v>
      </c>
      <c r="K32" s="398">
        <f t="shared" ref="K32:T32" si="4">(K10-K12)</f>
        <v>-95400176</v>
      </c>
      <c r="L32" s="398">
        <f t="shared" si="4"/>
        <v>-100083155</v>
      </c>
      <c r="M32" s="398">
        <f>(M10-M12)</f>
        <v>-32516240</v>
      </c>
      <c r="N32" s="398">
        <f t="shared" si="4"/>
        <v>0</v>
      </c>
      <c r="O32" s="398">
        <f t="shared" si="4"/>
        <v>0</v>
      </c>
      <c r="P32" s="398">
        <f t="shared" si="4"/>
        <v>0</v>
      </c>
      <c r="Q32" s="398">
        <f t="shared" si="4"/>
        <v>0</v>
      </c>
      <c r="R32" s="398">
        <f t="shared" si="4"/>
        <v>0</v>
      </c>
      <c r="S32" s="398">
        <f t="shared" si="4"/>
        <v>0</v>
      </c>
      <c r="T32" s="398">
        <f t="shared" si="4"/>
        <v>-390843641</v>
      </c>
      <c r="U32" s="85"/>
      <c r="V32" s="290"/>
      <c r="W32" s="55" t="e">
        <f>#REF!-#REF!</f>
        <v>#REF!</v>
      </c>
      <c r="X32" s="38" t="e">
        <f>SUM(#REF!)-#REF!</f>
        <v>#REF!</v>
      </c>
    </row>
    <row r="33" spans="1:27" s="24" customFormat="1" x14ac:dyDescent="0.2">
      <c r="A33" s="7"/>
      <c r="B33" s="405"/>
      <c r="C33" s="17"/>
      <c r="D33" s="7"/>
      <c r="E33" s="411"/>
      <c r="F33" s="391"/>
      <c r="G33" s="399"/>
      <c r="H33" s="398"/>
      <c r="I33" s="398"/>
      <c r="J33" s="398"/>
      <c r="K33" s="398"/>
      <c r="L33" s="398"/>
      <c r="M33" s="398"/>
      <c r="N33" s="398"/>
      <c r="O33" s="398"/>
      <c r="P33" s="398"/>
      <c r="Q33" s="398"/>
      <c r="R33" s="398"/>
      <c r="S33" s="398"/>
      <c r="T33" s="398"/>
      <c r="U33" s="85"/>
      <c r="V33" s="290"/>
      <c r="W33" s="55"/>
      <c r="X33" s="38"/>
    </row>
    <row r="34" spans="1:27" s="24" customFormat="1" x14ac:dyDescent="0.2">
      <c r="A34" s="7"/>
      <c r="B34" s="7"/>
      <c r="C34" s="17" t="s">
        <v>556</v>
      </c>
      <c r="D34" s="7"/>
      <c r="E34" s="7"/>
      <c r="F34" s="397"/>
      <c r="G34" s="399">
        <f t="shared" ref="G34:S34" si="5">+G37+G39+G60+G84</f>
        <v>709661433.44774151</v>
      </c>
      <c r="H34" s="398">
        <f>+H37+H39+H60+H84</f>
        <v>85315225</v>
      </c>
      <c r="I34" s="398">
        <f t="shared" si="5"/>
        <v>51703301.999999993</v>
      </c>
      <c r="J34" s="398">
        <f t="shared" si="5"/>
        <v>25825543</v>
      </c>
      <c r="K34" s="398">
        <f>+K37+K39+K60+K84</f>
        <v>95400176</v>
      </c>
      <c r="L34" s="398">
        <f t="shared" si="5"/>
        <v>100083155</v>
      </c>
      <c r="M34" s="398">
        <f t="shared" si="5"/>
        <v>32516240</v>
      </c>
      <c r="N34" s="398">
        <f>+N37+N39+N60+N84</f>
        <v>298709835</v>
      </c>
      <c r="O34" s="398">
        <f>+O37+O39+O60+O84</f>
        <v>0</v>
      </c>
      <c r="P34" s="398">
        <f>+P37+P39+P60+P84</f>
        <v>0</v>
      </c>
      <c r="Q34" s="398">
        <f>+Q37+Q39+Q60+Q84</f>
        <v>0</v>
      </c>
      <c r="R34" s="398">
        <f t="shared" si="5"/>
        <v>0</v>
      </c>
      <c r="S34" s="398">
        <f t="shared" si="5"/>
        <v>0</v>
      </c>
      <c r="T34" s="398">
        <f>(+T37+T39+T60+T84)</f>
        <v>390843640.99999994</v>
      </c>
      <c r="U34" s="85"/>
      <c r="V34" s="290"/>
      <c r="W34" s="55" t="e">
        <f>#REF!-#REF!</f>
        <v>#REF!</v>
      </c>
      <c r="X34" s="38" t="e">
        <f>SUM(#REF!)-#REF!</f>
        <v>#REF!</v>
      </c>
      <c r="Z34" s="410" t="e">
        <f>#REF!+#REF!</f>
        <v>#REF!</v>
      </c>
    </row>
    <row r="35" spans="1:27" s="24" customFormat="1" x14ac:dyDescent="0.2">
      <c r="A35" s="7"/>
      <c r="B35" s="7"/>
      <c r="C35" s="17"/>
      <c r="D35" s="7"/>
      <c r="E35" s="7"/>
      <c r="F35" s="391"/>
      <c r="G35" s="412"/>
      <c r="H35" s="413"/>
      <c r="I35" s="413"/>
      <c r="J35" s="413"/>
      <c r="K35" s="413"/>
      <c r="L35" s="413"/>
      <c r="M35" s="413"/>
      <c r="N35" s="413"/>
      <c r="O35" s="413"/>
      <c r="P35" s="413"/>
      <c r="Q35" s="413"/>
      <c r="R35" s="413"/>
      <c r="S35" s="413"/>
      <c r="T35" s="413"/>
      <c r="U35" s="85"/>
      <c r="V35" s="290"/>
      <c r="W35" s="55"/>
      <c r="X35" s="38"/>
      <c r="AA35" s="410"/>
    </row>
    <row r="36" spans="1:27" s="24" customFormat="1" x14ac:dyDescent="0.2">
      <c r="A36" s="7"/>
      <c r="B36" s="7"/>
      <c r="C36" s="17"/>
      <c r="D36" s="7"/>
      <c r="E36" s="7"/>
      <c r="F36" s="391"/>
      <c r="G36" s="399"/>
      <c r="H36" s="398"/>
      <c r="I36" s="398"/>
      <c r="J36" s="398"/>
      <c r="K36" s="398"/>
      <c r="L36" s="398"/>
      <c r="M36" s="398"/>
      <c r="N36" s="398"/>
      <c r="O36" s="398"/>
      <c r="P36" s="398"/>
      <c r="Q36" s="398"/>
      <c r="R36" s="398"/>
      <c r="S36" s="398"/>
      <c r="T36" s="398"/>
      <c r="U36" s="85"/>
      <c r="V36" s="290"/>
      <c r="W36" s="55"/>
      <c r="X36" s="38"/>
    </row>
    <row r="37" spans="1:27" s="24" customFormat="1" x14ac:dyDescent="0.2">
      <c r="A37" s="7"/>
      <c r="B37" s="7"/>
      <c r="C37" s="17" t="s">
        <v>36</v>
      </c>
      <c r="D37" s="7"/>
      <c r="E37" s="7"/>
      <c r="F37" s="391"/>
      <c r="G37" s="399">
        <f>[13]summary!$H$13</f>
        <v>146000000</v>
      </c>
      <c r="H37" s="398">
        <f>[14]summary!$M$13</f>
        <v>37582688</v>
      </c>
      <c r="I37" s="398">
        <f>[15]summary!$R$13</f>
        <v>16125619</v>
      </c>
      <c r="J37" s="398">
        <f>[16]summary!$W$13</f>
        <v>11567828</v>
      </c>
      <c r="K37" s="398">
        <f>[13]summary!$AB$13</f>
        <v>26289577</v>
      </c>
      <c r="L37" s="398">
        <f>[17]summary!$AG$13</f>
        <v>-5974831</v>
      </c>
      <c r="M37" s="398">
        <f>[18]summary!$AL$13</f>
        <v>1315362</v>
      </c>
      <c r="N37" s="398">
        <v>0</v>
      </c>
      <c r="O37" s="398">
        <v>0</v>
      </c>
      <c r="P37" s="398">
        <v>0</v>
      </c>
      <c r="Q37" s="398">
        <v>0</v>
      </c>
      <c r="R37" s="398">
        <v>0</v>
      </c>
      <c r="S37" s="398">
        <v>0</v>
      </c>
      <c r="T37" s="398">
        <f>SUM(H37:S37)</f>
        <v>86906243</v>
      </c>
      <c r="U37" s="85"/>
      <c r="V37" s="290"/>
      <c r="W37" s="55" t="e">
        <f>#REF!-#REF!</f>
        <v>#REF!</v>
      </c>
      <c r="X37" s="38" t="e">
        <f>SUM(#REF!)-#REF!</f>
        <v>#REF!</v>
      </c>
    </row>
    <row r="38" spans="1:27" s="24" customFormat="1" x14ac:dyDescent="0.2">
      <c r="A38" s="7"/>
      <c r="B38" s="7"/>
      <c r="C38" s="17"/>
      <c r="D38" s="7"/>
      <c r="E38" s="7"/>
      <c r="F38" s="391"/>
      <c r="G38" s="399"/>
      <c r="H38" s="398"/>
      <c r="I38" s="398"/>
      <c r="J38" s="398"/>
      <c r="K38" s="398"/>
      <c r="L38" s="398"/>
      <c r="M38" s="398"/>
      <c r="N38" s="398"/>
      <c r="O38" s="398"/>
      <c r="P38" s="398"/>
      <c r="Q38" s="398"/>
      <c r="R38" s="398"/>
      <c r="S38" s="398"/>
      <c r="T38" s="398"/>
      <c r="U38" s="85"/>
      <c r="V38" s="290"/>
      <c r="W38" s="55"/>
      <c r="X38" s="38"/>
    </row>
    <row r="39" spans="1:27" s="24" customFormat="1" x14ac:dyDescent="0.2">
      <c r="A39" s="7"/>
      <c r="B39" s="7"/>
      <c r="C39" s="17" t="s">
        <v>37</v>
      </c>
      <c r="D39" s="7"/>
      <c r="E39" s="7"/>
      <c r="F39" s="391"/>
      <c r="G39" s="399">
        <f t="shared" ref="G39:L39" si="6">+G41+G48+G53+G57</f>
        <v>410035000</v>
      </c>
      <c r="H39" s="414">
        <f t="shared" si="6"/>
        <v>32850713</v>
      </c>
      <c r="I39" s="414">
        <f t="shared" si="6"/>
        <v>40638036.743999995</v>
      </c>
      <c r="J39" s="414">
        <f t="shared" si="6"/>
        <v>43402900</v>
      </c>
      <c r="K39" s="414">
        <f t="shared" si="6"/>
        <v>60600922</v>
      </c>
      <c r="L39" s="414">
        <f t="shared" si="6"/>
        <v>37229982</v>
      </c>
      <c r="M39" s="414">
        <f>+M41+M48+M53+M57</f>
        <v>50427153</v>
      </c>
      <c r="N39" s="414">
        <v>0</v>
      </c>
      <c r="O39" s="414">
        <v>0</v>
      </c>
      <c r="P39" s="414">
        <v>0</v>
      </c>
      <c r="Q39" s="414">
        <v>0</v>
      </c>
      <c r="R39" s="414">
        <v>0</v>
      </c>
      <c r="S39" s="414">
        <v>0</v>
      </c>
      <c r="T39" s="398">
        <f>+T41+T48+T53+T57</f>
        <v>265149706.74399996</v>
      </c>
      <c r="U39" s="85"/>
      <c r="V39" s="290"/>
      <c r="W39" s="415" t="e">
        <f>#REF!-#REF!</f>
        <v>#REF!</v>
      </c>
      <c r="X39" s="38" t="e">
        <f>SUM(#REF!)-#REF!</f>
        <v>#REF!</v>
      </c>
    </row>
    <row r="40" spans="1:27" x14ac:dyDescent="0.2">
      <c r="A40" s="39"/>
      <c r="B40" s="39"/>
      <c r="C40" s="19"/>
      <c r="D40" s="39"/>
      <c r="E40" s="39"/>
      <c r="F40" s="114"/>
      <c r="G40" s="338"/>
      <c r="H40" s="416"/>
      <c r="I40" s="416"/>
      <c r="J40" s="416"/>
      <c r="K40" s="416"/>
      <c r="L40" s="416"/>
      <c r="M40" s="416"/>
      <c r="N40" s="416"/>
      <c r="O40" s="416"/>
      <c r="P40" s="416"/>
      <c r="Q40" s="416"/>
      <c r="R40" s="416"/>
      <c r="S40" s="416"/>
      <c r="T40" s="416"/>
      <c r="U40" s="43"/>
      <c r="V40" s="115"/>
      <c r="W40" s="55"/>
      <c r="X40" s="38"/>
    </row>
    <row r="41" spans="1:27" x14ac:dyDescent="0.2">
      <c r="A41" s="39"/>
      <c r="B41" s="39"/>
      <c r="C41" s="19"/>
      <c r="D41" s="39" t="s">
        <v>557</v>
      </c>
      <c r="E41" s="39"/>
      <c r="F41" s="114"/>
      <c r="G41" s="338">
        <f>SUM(G42:G46)</f>
        <v>410035000</v>
      </c>
      <c r="H41" s="416">
        <f>SUM(H42:H46)</f>
        <v>32850713</v>
      </c>
      <c r="I41" s="416">
        <f t="shared" ref="I41:S41" si="7">SUM(I42:I46)</f>
        <v>40638036.743999995</v>
      </c>
      <c r="J41" s="416">
        <f>SUM(J42:J46)</f>
        <v>43402900</v>
      </c>
      <c r="K41" s="416">
        <f>SUM(K42:K46)</f>
        <v>60600922</v>
      </c>
      <c r="L41" s="416">
        <f t="shared" si="7"/>
        <v>37229982</v>
      </c>
      <c r="M41" s="416">
        <f>SUM(M42:M46)</f>
        <v>50427153</v>
      </c>
      <c r="N41" s="416">
        <f t="shared" si="7"/>
        <v>0</v>
      </c>
      <c r="O41" s="416">
        <f>SUM(O42:O46)</f>
        <v>0</v>
      </c>
      <c r="P41" s="416">
        <f t="shared" si="7"/>
        <v>0</v>
      </c>
      <c r="Q41" s="416">
        <f t="shared" si="7"/>
        <v>0</v>
      </c>
      <c r="R41" s="416">
        <f t="shared" si="7"/>
        <v>0</v>
      </c>
      <c r="S41" s="416">
        <f t="shared" si="7"/>
        <v>0</v>
      </c>
      <c r="T41" s="403">
        <f>SUM(T42:T46)</f>
        <v>265149706.74399996</v>
      </c>
      <c r="U41" s="43"/>
      <c r="V41" s="115"/>
      <c r="W41" s="415" t="e">
        <f>#REF!-#REF!</f>
        <v>#REF!</v>
      </c>
      <c r="X41" s="38" t="e">
        <f>SUM(#REF!)-#REF!</f>
        <v>#REF!</v>
      </c>
    </row>
    <row r="42" spans="1:27" x14ac:dyDescent="0.2">
      <c r="A42" s="39"/>
      <c r="B42" s="39"/>
      <c r="C42" s="19"/>
      <c r="D42" s="39"/>
      <c r="E42" s="39" t="s">
        <v>558</v>
      </c>
      <c r="F42" s="114"/>
      <c r="G42" s="404">
        <f>[13]summary!$H$25</f>
        <v>496423000</v>
      </c>
      <c r="H42" s="403">
        <f>[14]summary!$M$25</f>
        <v>38350619</v>
      </c>
      <c r="I42" s="403">
        <f>[15]summary!$R$25</f>
        <v>45031287.743999995</v>
      </c>
      <c r="J42" s="403">
        <f>[16]summary!$W$25</f>
        <v>49600848</v>
      </c>
      <c r="K42" s="403">
        <f>[13]summary!$AB$25</f>
        <v>69933031</v>
      </c>
      <c r="L42" s="403">
        <f>[17]summary!$AG$25</f>
        <v>44319358</v>
      </c>
      <c r="M42" s="403">
        <f>[18]summary!$AL$25</f>
        <v>61486843</v>
      </c>
      <c r="N42" s="403">
        <v>0</v>
      </c>
      <c r="O42" s="403">
        <v>0</v>
      </c>
      <c r="P42" s="403">
        <v>0</v>
      </c>
      <c r="Q42" s="403">
        <v>0</v>
      </c>
      <c r="R42" s="403">
        <v>0</v>
      </c>
      <c r="S42" s="403">
        <v>0</v>
      </c>
      <c r="T42" s="403">
        <f>SUM(H42:S42)</f>
        <v>308721986.74399996</v>
      </c>
      <c r="U42" s="43"/>
      <c r="V42" s="115"/>
      <c r="W42" s="415" t="e">
        <f>#REF!-#REF!</f>
        <v>#REF!</v>
      </c>
      <c r="X42" s="38" t="e">
        <f>SUM(#REF!)-#REF!</f>
        <v>#REF!</v>
      </c>
    </row>
    <row r="43" spans="1:27" x14ac:dyDescent="0.2">
      <c r="A43" s="39"/>
      <c r="B43" s="39"/>
      <c r="C43" s="19"/>
      <c r="D43" s="39"/>
      <c r="E43" s="39" t="s">
        <v>559</v>
      </c>
      <c r="F43" s="114"/>
      <c r="G43" s="404">
        <f>[13]summary!$H$26</f>
        <v>-33923000</v>
      </c>
      <c r="H43" s="403">
        <f>[14]summary!$M$26</f>
        <v>-4299769</v>
      </c>
      <c r="I43" s="403">
        <f>[15]summary!$R$26</f>
        <v>-4058204</v>
      </c>
      <c r="J43" s="403">
        <f>[16]summary!$W$26</f>
        <v>-6085389</v>
      </c>
      <c r="K43" s="403">
        <f>[13]summary!$AB$26</f>
        <v>-8992564</v>
      </c>
      <c r="L43" s="403">
        <f>[17]summary!$AG$26</f>
        <v>-6877121</v>
      </c>
      <c r="M43" s="403">
        <f>[18]summary!$AL$26</f>
        <v>-10836667</v>
      </c>
      <c r="N43" s="403">
        <v>0</v>
      </c>
      <c r="O43" s="403">
        <v>0</v>
      </c>
      <c r="P43" s="403">
        <v>0</v>
      </c>
      <c r="Q43" s="403">
        <v>0</v>
      </c>
      <c r="R43" s="403">
        <v>0</v>
      </c>
      <c r="S43" s="403">
        <v>0</v>
      </c>
      <c r="T43" s="403">
        <f>SUM(H43:S43)</f>
        <v>-41149714</v>
      </c>
      <c r="U43" s="43"/>
      <c r="V43" s="115"/>
      <c r="W43" s="415" t="e">
        <f>#REF!-#REF!</f>
        <v>#REF!</v>
      </c>
      <c r="X43" s="38" t="e">
        <f>SUM(#REF!)-#REF!</f>
        <v>#REF!</v>
      </c>
    </row>
    <row r="44" spans="1:27" hidden="1" x14ac:dyDescent="0.2">
      <c r="A44" s="39"/>
      <c r="B44" s="39"/>
      <c r="C44" s="19"/>
      <c r="D44" s="39"/>
      <c r="E44" s="39" t="s">
        <v>560</v>
      </c>
      <c r="F44" s="114"/>
      <c r="G44" s="404"/>
      <c r="H44" s="403"/>
      <c r="I44" s="403"/>
      <c r="J44" s="403"/>
      <c r="K44" s="403"/>
      <c r="L44" s="403"/>
      <c r="M44" s="403"/>
      <c r="N44" s="403"/>
      <c r="O44" s="403"/>
      <c r="P44" s="403"/>
      <c r="Q44" s="403"/>
      <c r="R44" s="403"/>
      <c r="S44" s="403"/>
      <c r="T44" s="403"/>
      <c r="U44" s="43"/>
      <c r="V44" s="115"/>
      <c r="W44" s="55"/>
      <c r="X44" s="38"/>
    </row>
    <row r="45" spans="1:27" x14ac:dyDescent="0.2">
      <c r="A45" s="39"/>
      <c r="B45" s="39"/>
      <c r="C45" s="19"/>
      <c r="D45" s="39"/>
      <c r="E45" s="39" t="s">
        <v>504</v>
      </c>
      <c r="F45" s="114"/>
      <c r="G45" s="404">
        <f>[13]summary!$H$27</f>
        <v>-52465000</v>
      </c>
      <c r="H45" s="403">
        <f>[14]summary!$M$28</f>
        <v>-1200137</v>
      </c>
      <c r="I45" s="403">
        <f>+[15]summary!$R$27</f>
        <v>-335047</v>
      </c>
      <c r="J45" s="403">
        <f>[16]summary!$W$27</f>
        <v>-112559</v>
      </c>
      <c r="K45" s="403">
        <f>[13]summary!$AB$27</f>
        <v>-339545</v>
      </c>
      <c r="L45" s="403">
        <f>[17]summary!$AG$27</f>
        <v>-212255</v>
      </c>
      <c r="M45" s="403">
        <f>[18]summary!$AL$27</f>
        <v>-223023</v>
      </c>
      <c r="N45" s="403">
        <v>0</v>
      </c>
      <c r="O45" s="403">
        <v>0</v>
      </c>
      <c r="P45" s="403">
        <v>0</v>
      </c>
      <c r="Q45" s="403">
        <v>0</v>
      </c>
      <c r="R45" s="403">
        <v>0</v>
      </c>
      <c r="S45" s="403">
        <v>0</v>
      </c>
      <c r="T45" s="403">
        <f>SUM(H45:S45)</f>
        <v>-2422566</v>
      </c>
      <c r="U45" s="43"/>
      <c r="V45" s="115"/>
      <c r="W45" s="55" t="e">
        <f>#REF!-#REF!</f>
        <v>#REF!</v>
      </c>
      <c r="X45" s="38" t="e">
        <f>SUM(#REF!)-#REF!</f>
        <v>#REF!</v>
      </c>
    </row>
    <row r="46" spans="1:27" hidden="1" x14ac:dyDescent="0.2">
      <c r="A46" s="39"/>
      <c r="B46" s="39"/>
      <c r="C46" s="19"/>
      <c r="D46" s="39"/>
      <c r="E46" s="39" t="s">
        <v>561</v>
      </c>
      <c r="F46" s="114"/>
      <c r="G46" s="404">
        <v>0</v>
      </c>
      <c r="H46" s="403">
        <v>0</v>
      </c>
      <c r="I46" s="403">
        <v>0</v>
      </c>
      <c r="J46" s="403">
        <v>0</v>
      </c>
      <c r="K46" s="403">
        <v>0</v>
      </c>
      <c r="L46" s="403">
        <v>0</v>
      </c>
      <c r="M46" s="403">
        <v>0</v>
      </c>
      <c r="N46" s="403">
        <v>0</v>
      </c>
      <c r="O46" s="403">
        <v>0</v>
      </c>
      <c r="P46" s="403">
        <v>0</v>
      </c>
      <c r="Q46" s="403">
        <v>0</v>
      </c>
      <c r="R46" s="403">
        <v>0</v>
      </c>
      <c r="S46" s="403">
        <v>0</v>
      </c>
      <c r="T46" s="403">
        <f>SUM(H46:S46)</f>
        <v>0</v>
      </c>
      <c r="U46" s="43"/>
      <c r="V46" s="115"/>
      <c r="W46" s="55" t="e">
        <f>#REF!-#REF!</f>
        <v>#REF!</v>
      </c>
      <c r="X46" s="38" t="e">
        <f>SUM(#REF!)-#REF!</f>
        <v>#REF!</v>
      </c>
    </row>
    <row r="47" spans="1:27" x14ac:dyDescent="0.2">
      <c r="A47" s="39"/>
      <c r="B47" s="39"/>
      <c r="C47" s="19"/>
      <c r="D47" s="39"/>
      <c r="E47" s="39"/>
      <c r="F47" s="114"/>
      <c r="G47" s="404"/>
      <c r="H47" s="403"/>
      <c r="I47" s="403"/>
      <c r="J47" s="403"/>
      <c r="K47" s="403"/>
      <c r="L47" s="403"/>
      <c r="M47" s="403"/>
      <c r="N47" s="403"/>
      <c r="O47" s="403"/>
      <c r="P47" s="403"/>
      <c r="Q47" s="403"/>
      <c r="R47" s="403"/>
      <c r="S47" s="403"/>
      <c r="T47" s="403"/>
      <c r="U47" s="43"/>
      <c r="V47" s="115"/>
      <c r="W47" s="55"/>
      <c r="X47" s="38"/>
    </row>
    <row r="48" spans="1:27" x14ac:dyDescent="0.2">
      <c r="A48" s="39"/>
      <c r="B48" s="39"/>
      <c r="C48" s="19"/>
      <c r="D48" s="39" t="s">
        <v>562</v>
      </c>
      <c r="E48" s="39"/>
      <c r="F48" s="114"/>
      <c r="G48" s="404">
        <f>SUM(G49:G51)</f>
        <v>0</v>
      </c>
      <c r="H48" s="416">
        <f>SUM(H49:H51)</f>
        <v>0</v>
      </c>
      <c r="I48" s="416">
        <f>SUM(I49:I51)</f>
        <v>0</v>
      </c>
      <c r="J48" s="416">
        <f>SUM(J49:J51)</f>
        <v>0</v>
      </c>
      <c r="K48" s="416">
        <f>SUM(K49:K51)</f>
        <v>0</v>
      </c>
      <c r="L48" s="416">
        <f t="shared" ref="L48:S48" si="8">SUM(L49:L51)</f>
        <v>0</v>
      </c>
      <c r="M48" s="416">
        <f>SUM(M49:M51)</f>
        <v>0</v>
      </c>
      <c r="N48" s="416">
        <f t="shared" si="8"/>
        <v>0</v>
      </c>
      <c r="O48" s="416">
        <f t="shared" si="8"/>
        <v>0</v>
      </c>
      <c r="P48" s="416">
        <f t="shared" si="8"/>
        <v>0</v>
      </c>
      <c r="Q48" s="416">
        <f t="shared" si="8"/>
        <v>0</v>
      </c>
      <c r="R48" s="416">
        <f t="shared" si="8"/>
        <v>0</v>
      </c>
      <c r="S48" s="416">
        <f t="shared" si="8"/>
        <v>0</v>
      </c>
      <c r="T48" s="403">
        <f>SUM(T49:T51)</f>
        <v>0</v>
      </c>
      <c r="U48" s="43"/>
      <c r="V48" s="115"/>
      <c r="W48" s="55" t="e">
        <f>#REF!-#REF!</f>
        <v>#REF!</v>
      </c>
      <c r="X48" s="38" t="e">
        <f>SUM(#REF!)-#REF!</f>
        <v>#REF!</v>
      </c>
    </row>
    <row r="49" spans="1:26" x14ac:dyDescent="0.2">
      <c r="A49" s="39"/>
      <c r="B49" s="39"/>
      <c r="C49" s="19"/>
      <c r="D49" s="39"/>
      <c r="E49" s="39" t="s">
        <v>558</v>
      </c>
      <c r="F49" s="114"/>
      <c r="G49" s="404">
        <f>[14]summary!$H$32</f>
        <v>0</v>
      </c>
      <c r="H49" s="403">
        <f>[14]summary!$M$32</f>
        <v>0</v>
      </c>
      <c r="I49" s="403">
        <f>[15]summary!$R$32</f>
        <v>0</v>
      </c>
      <c r="J49" s="403">
        <f>[16]summary!$W$31</f>
        <v>0</v>
      </c>
      <c r="K49" s="403">
        <f>[13]summary!$AB$31</f>
        <v>0</v>
      </c>
      <c r="L49" s="403">
        <f>[17]summary!$AG$31</f>
        <v>0</v>
      </c>
      <c r="M49" s="403">
        <f>[18]summary!$AL$31</f>
        <v>0</v>
      </c>
      <c r="N49" s="403">
        <f>[46]summary!$AQ$32</f>
        <v>0</v>
      </c>
      <c r="O49" s="403">
        <f>[47]summary!$AV$32</f>
        <v>0</v>
      </c>
      <c r="P49" s="403">
        <f>[48]summary!$BA$32</f>
        <v>0</v>
      </c>
      <c r="Q49" s="403">
        <f>[49]summary!$BF$32</f>
        <v>0</v>
      </c>
      <c r="R49" s="403">
        <f>[50]summary!$BK$32</f>
        <v>0</v>
      </c>
      <c r="S49" s="403">
        <f>[45]summary!$BP$32</f>
        <v>0</v>
      </c>
      <c r="T49" s="403">
        <f>SUM(H49:S49)</f>
        <v>0</v>
      </c>
      <c r="U49" s="43"/>
      <c r="V49" s="115"/>
      <c r="W49" s="55" t="e">
        <f>#REF!-#REF!</f>
        <v>#REF!</v>
      </c>
      <c r="X49" s="38" t="e">
        <f>SUM(#REF!)-#REF!</f>
        <v>#REF!</v>
      </c>
    </row>
    <row r="50" spans="1:26" x14ac:dyDescent="0.2">
      <c r="A50" s="39"/>
      <c r="B50" s="39"/>
      <c r="C50" s="19"/>
      <c r="D50" s="39"/>
      <c r="E50" s="39" t="s">
        <v>559</v>
      </c>
      <c r="F50" s="114"/>
      <c r="G50" s="404">
        <f>[14]summary!$H$33</f>
        <v>0</v>
      </c>
      <c r="H50" s="403">
        <f>[14]summary!$M$33</f>
        <v>0</v>
      </c>
      <c r="I50" s="403">
        <f>[15]summary!$R$33</f>
        <v>0</v>
      </c>
      <c r="J50" s="403">
        <f>[16]summary!$W$32</f>
        <v>0</v>
      </c>
      <c r="K50" s="403">
        <f>[13]summary!$AB$32</f>
        <v>0</v>
      </c>
      <c r="L50" s="403">
        <f>[17]summary!$AG$32</f>
        <v>0</v>
      </c>
      <c r="M50" s="403">
        <f>[18]summary!$AL$32</f>
        <v>0</v>
      </c>
      <c r="N50" s="403">
        <f>[46]summary!$AQ$33</f>
        <v>0</v>
      </c>
      <c r="O50" s="403">
        <f>[47]summary!$AV$33</f>
        <v>0</v>
      </c>
      <c r="P50" s="403">
        <f>[48]summary!$BA$33</f>
        <v>0</v>
      </c>
      <c r="Q50" s="403">
        <f>[49]summary!$BF$33</f>
        <v>0</v>
      </c>
      <c r="R50" s="403">
        <f>[50]summary!$BK$33</f>
        <v>0</v>
      </c>
      <c r="S50" s="403">
        <f>[45]summary!$BP$33</f>
        <v>0</v>
      </c>
      <c r="T50" s="403">
        <f>SUM(H50:S50)</f>
        <v>0</v>
      </c>
      <c r="U50" s="43"/>
      <c r="V50" s="115"/>
      <c r="W50" s="55" t="e">
        <f>#REF!-#REF!</f>
        <v>#REF!</v>
      </c>
      <c r="X50" s="38" t="e">
        <f>SUM(#REF!)-#REF!</f>
        <v>#REF!</v>
      </c>
      <c r="Z50" s="38"/>
    </row>
    <row r="51" spans="1:26" x14ac:dyDescent="0.2">
      <c r="A51" s="39"/>
      <c r="B51" s="39"/>
      <c r="C51" s="19"/>
      <c r="D51" s="39"/>
      <c r="E51" s="39" t="s">
        <v>563</v>
      </c>
      <c r="F51" s="114"/>
      <c r="G51" s="404">
        <f>[14]summary!$H$34</f>
        <v>0</v>
      </c>
      <c r="H51" s="403">
        <f>[14]summary!$M$34</f>
        <v>0</v>
      </c>
      <c r="I51" s="403">
        <f>[15]summary!$R$34</f>
        <v>0</v>
      </c>
      <c r="J51" s="403">
        <f>[16]summary!$W$33</f>
        <v>0</v>
      </c>
      <c r="K51" s="403">
        <f>[13]summary!$AB$33</f>
        <v>0</v>
      </c>
      <c r="L51" s="403">
        <f>[17]summary!$AG$33</f>
        <v>0</v>
      </c>
      <c r="M51" s="403">
        <f>[18]summary!$AL$33</f>
        <v>0</v>
      </c>
      <c r="N51" s="403">
        <f>[46]summary!$AQ$34</f>
        <v>0</v>
      </c>
      <c r="O51" s="403">
        <f>[47]summary!$AV$34</f>
        <v>0</v>
      </c>
      <c r="P51" s="403">
        <f>[48]summary!$BA$34</f>
        <v>0</v>
      </c>
      <c r="Q51" s="403">
        <f>[49]summary!$BF$34</f>
        <v>0</v>
      </c>
      <c r="R51" s="403">
        <f>[50]summary!$BK$34</f>
        <v>0</v>
      </c>
      <c r="S51" s="403">
        <f>[45]summary!$BP$34</f>
        <v>0</v>
      </c>
      <c r="T51" s="403">
        <f>SUM(H51:S51)</f>
        <v>0</v>
      </c>
      <c r="U51" s="43"/>
      <c r="V51" s="115"/>
      <c r="W51" s="55" t="e">
        <f>#REF!-#REF!</f>
        <v>#REF!</v>
      </c>
      <c r="X51" s="38" t="e">
        <f>SUM(#REF!)-#REF!</f>
        <v>#REF!</v>
      </c>
    </row>
    <row r="52" spans="1:26" x14ac:dyDescent="0.2">
      <c r="A52" s="39"/>
      <c r="B52" s="39"/>
      <c r="C52" s="19"/>
      <c r="D52" s="39"/>
      <c r="E52" s="39"/>
      <c r="F52" s="114"/>
      <c r="G52" s="404"/>
      <c r="H52" s="403"/>
      <c r="I52" s="403"/>
      <c r="J52" s="403"/>
      <c r="K52" s="403"/>
      <c r="L52" s="403"/>
      <c r="M52" s="403"/>
      <c r="N52" s="403"/>
      <c r="O52" s="403"/>
      <c r="P52" s="403"/>
      <c r="Q52" s="403"/>
      <c r="R52" s="403"/>
      <c r="S52" s="403"/>
      <c r="T52" s="403"/>
      <c r="U52" s="43"/>
      <c r="V52" s="115"/>
      <c r="W52" s="55"/>
      <c r="X52" s="38"/>
    </row>
    <row r="53" spans="1:26" x14ac:dyDescent="0.2">
      <c r="A53" s="39"/>
      <c r="B53" s="39"/>
      <c r="C53" s="19"/>
      <c r="D53" s="39" t="s">
        <v>564</v>
      </c>
      <c r="E53" s="39"/>
      <c r="F53" s="114"/>
      <c r="G53" s="404">
        <f t="shared" ref="G53:T53" si="9">SUM(G54:G55)</f>
        <v>0</v>
      </c>
      <c r="H53" s="416">
        <f t="shared" si="9"/>
        <v>0</v>
      </c>
      <c r="I53" s="416">
        <f>SUM(I54:I55)</f>
        <v>0</v>
      </c>
      <c r="J53" s="416">
        <f>SUM(J54:J55)</f>
        <v>0</v>
      </c>
      <c r="K53" s="416">
        <f>SUM(K54:K55)</f>
        <v>0</v>
      </c>
      <c r="L53" s="416">
        <f t="shared" si="9"/>
        <v>0</v>
      </c>
      <c r="M53" s="416">
        <f t="shared" si="9"/>
        <v>0</v>
      </c>
      <c r="N53" s="416">
        <f t="shared" si="9"/>
        <v>0</v>
      </c>
      <c r="O53" s="416">
        <f t="shared" si="9"/>
        <v>0</v>
      </c>
      <c r="P53" s="416">
        <f t="shared" si="9"/>
        <v>0</v>
      </c>
      <c r="Q53" s="416">
        <f t="shared" si="9"/>
        <v>0</v>
      </c>
      <c r="R53" s="416">
        <f t="shared" si="9"/>
        <v>0</v>
      </c>
      <c r="S53" s="416">
        <f t="shared" si="9"/>
        <v>0</v>
      </c>
      <c r="T53" s="403">
        <f t="shared" si="9"/>
        <v>0</v>
      </c>
      <c r="U53" s="43"/>
      <c r="V53" s="115"/>
      <c r="W53" s="55" t="e">
        <f>#REF!-#REF!</f>
        <v>#REF!</v>
      </c>
      <c r="X53" s="38" t="e">
        <f>SUM(#REF!)-#REF!</f>
        <v>#REF!</v>
      </c>
    </row>
    <row r="54" spans="1:26" x14ac:dyDescent="0.2">
      <c r="A54" s="39"/>
      <c r="B54" s="39"/>
      <c r="C54" s="19"/>
      <c r="D54" s="39"/>
      <c r="E54" s="39" t="s">
        <v>565</v>
      </c>
      <c r="F54" s="114"/>
      <c r="G54" s="404">
        <f>[14]summary!$H$37</f>
        <v>0</v>
      </c>
      <c r="H54" s="403">
        <f>[14]summary!$M$37</f>
        <v>487336</v>
      </c>
      <c r="I54" s="403">
        <f>+[15]summary!$R$36</f>
        <v>29682</v>
      </c>
      <c r="J54" s="403">
        <f>[16]summary!$W$36</f>
        <v>28489</v>
      </c>
      <c r="K54" s="403">
        <f>[13]summary!$AB$36</f>
        <v>0</v>
      </c>
      <c r="L54" s="403">
        <f>[17]summary!$AG$36</f>
        <v>41191</v>
      </c>
      <c r="M54" s="403">
        <f>[18]summary!$AL$36</f>
        <v>18552</v>
      </c>
      <c r="N54" s="403">
        <v>0</v>
      </c>
      <c r="O54" s="403">
        <v>0</v>
      </c>
      <c r="P54" s="403">
        <v>0</v>
      </c>
      <c r="Q54" s="403">
        <v>0</v>
      </c>
      <c r="R54" s="403">
        <v>0</v>
      </c>
      <c r="S54" s="403">
        <v>0</v>
      </c>
      <c r="T54" s="403">
        <f>SUM(H54:S54)</f>
        <v>605250</v>
      </c>
      <c r="U54" s="43"/>
      <c r="V54" s="115"/>
      <c r="W54" s="55" t="e">
        <f>#REF!-#REF!</f>
        <v>#REF!</v>
      </c>
      <c r="X54" s="38" t="e">
        <f>SUM(#REF!)-#REF!</f>
        <v>#REF!</v>
      </c>
    </row>
    <row r="55" spans="1:26" x14ac:dyDescent="0.2">
      <c r="A55" s="39"/>
      <c r="B55" s="39"/>
      <c r="C55" s="19"/>
      <c r="D55" s="39"/>
      <c r="E55" s="39" t="s">
        <v>566</v>
      </c>
      <c r="F55" s="114"/>
      <c r="G55" s="404">
        <f>[14]summary!$H$38</f>
        <v>0</v>
      </c>
      <c r="H55" s="403">
        <f>[14]summary!$M$38</f>
        <v>-487336</v>
      </c>
      <c r="I55" s="403">
        <f>+[15]summary!$R$37</f>
        <v>-29682</v>
      </c>
      <c r="J55" s="403">
        <f>[16]summary!$W$37</f>
        <v>-28489</v>
      </c>
      <c r="K55" s="403">
        <f>[13]summary!$AB$37</f>
        <v>0</v>
      </c>
      <c r="L55" s="403">
        <f>[17]summary!$AG$37</f>
        <v>-41191</v>
      </c>
      <c r="M55" s="403">
        <f>[18]summary!$AL$37</f>
        <v>-18552</v>
      </c>
      <c r="N55" s="403">
        <v>0</v>
      </c>
      <c r="O55" s="403">
        <v>0</v>
      </c>
      <c r="P55" s="403">
        <v>0</v>
      </c>
      <c r="Q55" s="403">
        <v>0</v>
      </c>
      <c r="R55" s="403">
        <v>0</v>
      </c>
      <c r="S55" s="403">
        <v>0</v>
      </c>
      <c r="T55" s="403">
        <f>SUM(H55:S55)</f>
        <v>-605250</v>
      </c>
      <c r="U55" s="43"/>
      <c r="V55" s="115"/>
      <c r="W55" s="55" t="e">
        <f>#REF!-#REF!</f>
        <v>#REF!</v>
      </c>
      <c r="X55" s="38" t="e">
        <f>SUM(#REF!)-#REF!</f>
        <v>#REF!</v>
      </c>
    </row>
    <row r="56" spans="1:26" x14ac:dyDescent="0.2">
      <c r="A56" s="39"/>
      <c r="B56" s="39"/>
      <c r="C56" s="19"/>
      <c r="D56" s="39"/>
      <c r="E56" s="39"/>
      <c r="F56" s="114"/>
      <c r="G56" s="404"/>
      <c r="H56" s="403"/>
      <c r="I56" s="403"/>
      <c r="J56" s="403"/>
      <c r="K56" s="403"/>
      <c r="L56" s="403"/>
      <c r="M56" s="403"/>
      <c r="N56" s="403"/>
      <c r="O56" s="403"/>
      <c r="P56" s="403"/>
      <c r="Q56" s="403"/>
      <c r="R56" s="403"/>
      <c r="S56" s="403"/>
      <c r="T56" s="403"/>
      <c r="U56" s="43"/>
      <c r="V56" s="115"/>
      <c r="W56" s="55"/>
      <c r="X56" s="38"/>
    </row>
    <row r="57" spans="1:26" ht="12.75" hidden="1" customHeight="1" x14ac:dyDescent="0.2">
      <c r="A57" s="39"/>
      <c r="B57" s="39"/>
      <c r="C57" s="19"/>
      <c r="D57" s="39" t="s">
        <v>567</v>
      </c>
      <c r="E57" s="39"/>
      <c r="F57" s="114"/>
      <c r="G57" s="417">
        <v>0</v>
      </c>
      <c r="H57" s="418">
        <f t="shared" ref="H57:S57" si="10">SUM(H58:H58)</f>
        <v>0</v>
      </c>
      <c r="I57" s="418">
        <f t="shared" si="10"/>
        <v>0</v>
      </c>
      <c r="J57" s="418">
        <f t="shared" si="10"/>
        <v>0</v>
      </c>
      <c r="K57" s="418">
        <f t="shared" si="10"/>
        <v>0</v>
      </c>
      <c r="L57" s="418">
        <f t="shared" si="10"/>
        <v>0</v>
      </c>
      <c r="M57" s="418">
        <f t="shared" si="10"/>
        <v>0</v>
      </c>
      <c r="N57" s="418">
        <f t="shared" si="10"/>
        <v>0</v>
      </c>
      <c r="O57" s="418">
        <f t="shared" si="10"/>
        <v>0</v>
      </c>
      <c r="P57" s="418">
        <f t="shared" si="10"/>
        <v>0</v>
      </c>
      <c r="Q57" s="418">
        <f t="shared" si="10"/>
        <v>0</v>
      </c>
      <c r="R57" s="418">
        <f t="shared" si="10"/>
        <v>0</v>
      </c>
      <c r="S57" s="418">
        <f t="shared" si="10"/>
        <v>0</v>
      </c>
      <c r="T57" s="418">
        <f>SUM(T58:T58)</f>
        <v>0</v>
      </c>
      <c r="U57" s="43"/>
      <c r="V57" s="115"/>
      <c r="W57" s="55" t="e">
        <f>#REF!-#REF!</f>
        <v>#REF!</v>
      </c>
      <c r="X57" s="38" t="e">
        <f>SUM(#REF!)-#REF!</f>
        <v>#REF!</v>
      </c>
    </row>
    <row r="58" spans="1:26" ht="12.75" hidden="1" customHeight="1" x14ac:dyDescent="0.2">
      <c r="A58" s="39"/>
      <c r="B58" s="39"/>
      <c r="C58" s="19"/>
      <c r="D58" s="39"/>
      <c r="E58" s="39" t="s">
        <v>558</v>
      </c>
      <c r="F58" s="114"/>
      <c r="G58" s="417">
        <v>0</v>
      </c>
      <c r="H58" s="418">
        <v>0</v>
      </c>
      <c r="I58" s="418">
        <v>0</v>
      </c>
      <c r="J58" s="418">
        <v>0</v>
      </c>
      <c r="K58" s="418">
        <v>0</v>
      </c>
      <c r="L58" s="418">
        <v>0</v>
      </c>
      <c r="M58" s="418">
        <v>0</v>
      </c>
      <c r="N58" s="418">
        <v>0</v>
      </c>
      <c r="O58" s="418">
        <v>0</v>
      </c>
      <c r="P58" s="418">
        <v>0</v>
      </c>
      <c r="Q58" s="418">
        <v>0</v>
      </c>
      <c r="R58" s="418">
        <v>0</v>
      </c>
      <c r="S58" s="418">
        <v>0</v>
      </c>
      <c r="T58" s="403">
        <f>SUM(H58:S58)</f>
        <v>0</v>
      </c>
      <c r="U58" s="43"/>
      <c r="V58" s="115"/>
      <c r="W58" s="55" t="e">
        <f>#REF!-#REF!</f>
        <v>#REF!</v>
      </c>
      <c r="X58" s="38" t="e">
        <f>SUM(#REF!)-#REF!</f>
        <v>#REF!</v>
      </c>
    </row>
    <row r="59" spans="1:26" ht="12.75" hidden="1" customHeight="1" x14ac:dyDescent="0.2">
      <c r="A59" s="39"/>
      <c r="B59" s="39"/>
      <c r="C59" s="19"/>
      <c r="D59" s="39"/>
      <c r="E59" s="39"/>
      <c r="F59" s="114"/>
      <c r="G59" s="404"/>
      <c r="H59" s="403"/>
      <c r="I59" s="403"/>
      <c r="J59" s="403"/>
      <c r="K59" s="403"/>
      <c r="L59" s="403"/>
      <c r="M59" s="403"/>
      <c r="N59" s="403"/>
      <c r="O59" s="403"/>
      <c r="P59" s="403"/>
      <c r="Q59" s="403"/>
      <c r="R59" s="403"/>
      <c r="S59" s="403"/>
      <c r="T59" s="403"/>
      <c r="U59" s="43"/>
      <c r="V59" s="115"/>
      <c r="W59" s="55" t="e">
        <f>#REF!-#REF!</f>
        <v>#REF!</v>
      </c>
      <c r="X59" s="38" t="e">
        <f>SUM(#REF!)-#REF!</f>
        <v>#REF!</v>
      </c>
    </row>
    <row r="60" spans="1:26" s="24" customFormat="1" x14ac:dyDescent="0.2">
      <c r="A60" s="7"/>
      <c r="B60" s="7"/>
      <c r="C60" s="17" t="s">
        <v>350</v>
      </c>
      <c r="D60" s="7"/>
      <c r="E60" s="7"/>
      <c r="F60" s="391"/>
      <c r="G60" s="399">
        <f t="shared" ref="G60:L60" si="11">+G62+G69+G76</f>
        <v>110568000</v>
      </c>
      <c r="H60" s="398">
        <f t="shared" si="11"/>
        <v>-777665</v>
      </c>
      <c r="I60" s="398">
        <f t="shared" si="11"/>
        <v>-4931986</v>
      </c>
      <c r="J60" s="398">
        <f t="shared" si="11"/>
        <v>-8699700</v>
      </c>
      <c r="K60" s="398">
        <f t="shared" si="11"/>
        <v>86911584</v>
      </c>
      <c r="L60" s="398">
        <f t="shared" si="11"/>
        <v>0</v>
      </c>
      <c r="M60" s="398">
        <f>+M62+M69+M76</f>
        <v>0</v>
      </c>
      <c r="N60" s="398">
        <f t="shared" ref="N60:S60" si="12">+N62+N69+N76</f>
        <v>0</v>
      </c>
      <c r="O60" s="398">
        <f t="shared" si="12"/>
        <v>0</v>
      </c>
      <c r="P60" s="398">
        <f t="shared" si="12"/>
        <v>0</v>
      </c>
      <c r="Q60" s="398">
        <f t="shared" si="12"/>
        <v>0</v>
      </c>
      <c r="R60" s="398">
        <f t="shared" si="12"/>
        <v>0</v>
      </c>
      <c r="S60" s="398">
        <f t="shared" si="12"/>
        <v>0</v>
      </c>
      <c r="T60" s="398">
        <f>+T62+T69+T76</f>
        <v>72502233</v>
      </c>
      <c r="U60" s="85"/>
      <c r="V60" s="290"/>
      <c r="W60" s="55" t="e">
        <f>#REF!-#REF!</f>
        <v>#REF!</v>
      </c>
      <c r="X60" s="38" t="e">
        <f>SUM(#REF!)-#REF!</f>
        <v>#REF!</v>
      </c>
    </row>
    <row r="61" spans="1:26" x14ac:dyDescent="0.2">
      <c r="A61" s="39"/>
      <c r="B61" s="39"/>
      <c r="C61" s="19"/>
      <c r="D61" s="39"/>
      <c r="E61" s="39"/>
      <c r="F61" s="114"/>
      <c r="G61" s="404"/>
      <c r="H61" s="403"/>
      <c r="I61" s="403"/>
      <c r="J61" s="403"/>
      <c r="K61" s="403"/>
      <c r="L61" s="403"/>
      <c r="M61" s="403"/>
      <c r="N61" s="403"/>
      <c r="O61" s="403"/>
      <c r="P61" s="403"/>
      <c r="Q61" s="403"/>
      <c r="R61" s="403"/>
      <c r="S61" s="403"/>
      <c r="T61" s="403"/>
      <c r="U61" s="43"/>
      <c r="V61" s="115"/>
      <c r="W61" s="55"/>
      <c r="X61" s="38"/>
    </row>
    <row r="62" spans="1:26" x14ac:dyDescent="0.2">
      <c r="A62" s="39"/>
      <c r="B62" s="39"/>
      <c r="C62" s="19"/>
      <c r="D62" s="39" t="s">
        <v>557</v>
      </c>
      <c r="E62" s="39"/>
      <c r="F62" s="114"/>
      <c r="G62" s="404">
        <f t="shared" ref="G62:L62" si="13">SUM(G63:G67)</f>
        <v>110568000</v>
      </c>
      <c r="H62" s="404">
        <f t="shared" si="13"/>
        <v>-777665</v>
      </c>
      <c r="I62" s="404">
        <f t="shared" si="13"/>
        <v>-4931986</v>
      </c>
      <c r="J62" s="404">
        <f t="shared" si="13"/>
        <v>-8699700</v>
      </c>
      <c r="K62" s="404">
        <f t="shared" si="13"/>
        <v>86911584</v>
      </c>
      <c r="L62" s="404">
        <f t="shared" si="13"/>
        <v>0</v>
      </c>
      <c r="M62" s="404">
        <f>SUM(M63:M67)</f>
        <v>0</v>
      </c>
      <c r="N62" s="404">
        <f t="shared" ref="N62:S62" si="14">SUM(N63:N67)</f>
        <v>0</v>
      </c>
      <c r="O62" s="404">
        <f t="shared" si="14"/>
        <v>0</v>
      </c>
      <c r="P62" s="404">
        <f t="shared" si="14"/>
        <v>0</v>
      </c>
      <c r="Q62" s="404">
        <f t="shared" si="14"/>
        <v>0</v>
      </c>
      <c r="R62" s="404">
        <f t="shared" si="14"/>
        <v>0</v>
      </c>
      <c r="S62" s="404">
        <f t="shared" si="14"/>
        <v>0</v>
      </c>
      <c r="T62" s="404">
        <f>SUM(T63:T67)</f>
        <v>72502233</v>
      </c>
      <c r="U62" s="43"/>
      <c r="V62" s="115"/>
      <c r="W62" s="55" t="e">
        <f>#REF!-#REF!</f>
        <v>#REF!</v>
      </c>
      <c r="X62" s="38" t="e">
        <f>SUM(#REF!)-#REF!</f>
        <v>#REF!</v>
      </c>
    </row>
    <row r="63" spans="1:26" x14ac:dyDescent="0.2">
      <c r="A63" s="39"/>
      <c r="B63" s="39"/>
      <c r="C63" s="19"/>
      <c r="D63" s="39"/>
      <c r="E63" s="39" t="s">
        <v>558</v>
      </c>
      <c r="F63" s="114"/>
      <c r="G63" s="404">
        <f>[13]summary!$H$46</f>
        <v>125230000</v>
      </c>
      <c r="H63" s="403">
        <f>[14]summary!$M$47</f>
        <v>0</v>
      </c>
      <c r="I63" s="403">
        <f>[15]summary!$R$47</f>
        <v>0</v>
      </c>
      <c r="J63" s="403">
        <f>[16]summary!$W$46</f>
        <v>0</v>
      </c>
      <c r="K63" s="403">
        <f>[13]summary!$AB$46</f>
        <v>86911584</v>
      </c>
      <c r="L63" s="403">
        <f>[17]summary!$AG$46</f>
        <v>0</v>
      </c>
      <c r="M63" s="403">
        <f>[18]summary!$AL$46</f>
        <v>0</v>
      </c>
      <c r="N63" s="403">
        <v>0</v>
      </c>
      <c r="O63" s="403">
        <v>0</v>
      </c>
      <c r="P63" s="403">
        <v>0</v>
      </c>
      <c r="Q63" s="403">
        <v>0</v>
      </c>
      <c r="R63" s="403">
        <v>0</v>
      </c>
      <c r="S63" s="403">
        <v>0</v>
      </c>
      <c r="T63" s="403">
        <f>SUM(H63:S63)</f>
        <v>86911584</v>
      </c>
      <c r="U63" s="43"/>
      <c r="V63" s="115"/>
      <c r="W63" s="55" t="e">
        <f>#REF!-#REF!</f>
        <v>#REF!</v>
      </c>
      <c r="X63" s="38" t="e">
        <f>SUM(#REF!)-#REF!</f>
        <v>#REF!</v>
      </c>
    </row>
    <row r="64" spans="1:26" x14ac:dyDescent="0.2">
      <c r="A64" s="39"/>
      <c r="B64" s="39"/>
      <c r="C64" s="19"/>
      <c r="D64" s="39"/>
      <c r="E64" s="39" t="s">
        <v>559</v>
      </c>
      <c r="F64" s="114"/>
      <c r="G64" s="404">
        <f>[13]summary!$H$47</f>
        <v>0</v>
      </c>
      <c r="H64" s="403">
        <f>[14]summary!$M$48</f>
        <v>0</v>
      </c>
      <c r="I64" s="403">
        <f>[15]summary!$R$48</f>
        <v>0</v>
      </c>
      <c r="J64" s="403">
        <f>[16]summary!$W$47</f>
        <v>0</v>
      </c>
      <c r="K64" s="403">
        <f>[13]summary!$AB$47</f>
        <v>0</v>
      </c>
      <c r="L64" s="403">
        <f>[17]summary!$AG$47</f>
        <v>0</v>
      </c>
      <c r="M64" s="403">
        <f>[18]summary!$AL$47</f>
        <v>0</v>
      </c>
      <c r="N64" s="403">
        <v>0</v>
      </c>
      <c r="O64" s="403">
        <v>0</v>
      </c>
      <c r="P64" s="403">
        <v>0</v>
      </c>
      <c r="Q64" s="403">
        <v>0</v>
      </c>
      <c r="R64" s="403">
        <v>0</v>
      </c>
      <c r="S64" s="403">
        <v>0</v>
      </c>
      <c r="T64" s="403">
        <f>SUM(H64:S64)</f>
        <v>0</v>
      </c>
      <c r="U64" s="43"/>
      <c r="V64" s="115"/>
      <c r="W64" s="55" t="e">
        <f>#REF!-#REF!</f>
        <v>#REF!</v>
      </c>
      <c r="X64" s="38" t="e">
        <f>SUM(#REF!)-#REF!</f>
        <v>#REF!</v>
      </c>
    </row>
    <row r="65" spans="1:24" x14ac:dyDescent="0.2">
      <c r="A65" s="39"/>
      <c r="B65" s="39"/>
      <c r="C65" s="19"/>
      <c r="D65" s="39"/>
      <c r="E65" s="39" t="s">
        <v>504</v>
      </c>
      <c r="F65" s="114"/>
      <c r="G65" s="404"/>
      <c r="H65" s="403"/>
      <c r="I65" s="403"/>
      <c r="J65" s="403"/>
      <c r="K65" s="403"/>
      <c r="L65" s="403"/>
      <c r="M65" s="403"/>
      <c r="N65" s="403"/>
      <c r="O65" s="403"/>
      <c r="P65" s="403"/>
      <c r="Q65" s="403"/>
      <c r="R65" s="403"/>
      <c r="S65" s="403"/>
      <c r="T65" s="403"/>
      <c r="U65" s="43"/>
      <c r="V65" s="115"/>
      <c r="W65" s="55"/>
      <c r="X65" s="38"/>
    </row>
    <row r="66" spans="1:24" x14ac:dyDescent="0.2">
      <c r="A66" s="39"/>
      <c r="B66" s="39"/>
      <c r="C66" s="19"/>
      <c r="D66" s="39"/>
      <c r="E66" s="71" t="s">
        <v>568</v>
      </c>
      <c r="F66" s="114"/>
      <c r="G66" s="404">
        <f>[13]summary!$H$49</f>
        <v>-7961000</v>
      </c>
      <c r="H66" s="403">
        <f>[14]summary!$M$50</f>
        <v>-391647</v>
      </c>
      <c r="I66" s="403">
        <f>+[15]summary!$R$49</f>
        <v>-1962723</v>
      </c>
      <c r="J66" s="403">
        <f>[16]summary!$W$49</f>
        <v>-5604275</v>
      </c>
      <c r="K66" s="403">
        <f>[13]summary!$AB$49</f>
        <v>0</v>
      </c>
      <c r="L66" s="403">
        <f>[17]summary!$AG$49</f>
        <v>0</v>
      </c>
      <c r="M66" s="403">
        <f>[18]summary!$AL$49</f>
        <v>0</v>
      </c>
      <c r="N66" s="403">
        <v>0</v>
      </c>
      <c r="O66" s="403">
        <v>0</v>
      </c>
      <c r="P66" s="403">
        <v>0</v>
      </c>
      <c r="Q66" s="403">
        <v>0</v>
      </c>
      <c r="R66" s="403">
        <v>0</v>
      </c>
      <c r="S66" s="403">
        <v>0</v>
      </c>
      <c r="T66" s="403">
        <f>SUM(H66:S66)</f>
        <v>-7958645</v>
      </c>
      <c r="U66" s="43"/>
      <c r="V66" s="115"/>
      <c r="W66" s="55" t="e">
        <f>#REF!-#REF!</f>
        <v>#REF!</v>
      </c>
      <c r="X66" s="38" t="e">
        <f>SUM(#REF!)-#REF!</f>
        <v>#REF!</v>
      </c>
    </row>
    <row r="67" spans="1:24" x14ac:dyDescent="0.2">
      <c r="A67" s="39"/>
      <c r="B67" s="39"/>
      <c r="C67" s="19"/>
      <c r="D67" s="39"/>
      <c r="E67" s="71" t="s">
        <v>569</v>
      </c>
      <c r="F67" s="408"/>
      <c r="G67" s="404">
        <f>[13]summary!$H$50</f>
        <v>-6701000</v>
      </c>
      <c r="H67" s="403">
        <f>[14]summary!$M$51</f>
        <v>-386018</v>
      </c>
      <c r="I67" s="403">
        <f>+[15]summary!$R$50</f>
        <v>-2969263</v>
      </c>
      <c r="J67" s="403">
        <f>[16]summary!$W$50</f>
        <v>-3095425</v>
      </c>
      <c r="K67" s="403">
        <f>[13]summary!$AB$50</f>
        <v>0</v>
      </c>
      <c r="L67" s="403">
        <f>[17]summary!$AG$50</f>
        <v>0</v>
      </c>
      <c r="M67" s="403">
        <f>[18]summary!$AL$50</f>
        <v>0</v>
      </c>
      <c r="N67" s="403">
        <v>0</v>
      </c>
      <c r="O67" s="403">
        <v>0</v>
      </c>
      <c r="P67" s="403">
        <v>0</v>
      </c>
      <c r="Q67" s="403">
        <v>0</v>
      </c>
      <c r="R67" s="403">
        <v>0</v>
      </c>
      <c r="S67" s="403">
        <v>0</v>
      </c>
      <c r="T67" s="403">
        <f>SUM(H67:S67)</f>
        <v>-6450706</v>
      </c>
      <c r="U67" s="43"/>
      <c r="V67" s="115"/>
      <c r="W67" s="55" t="e">
        <f>#REF!-#REF!</f>
        <v>#REF!</v>
      </c>
      <c r="X67" s="38" t="e">
        <f>SUM(#REF!)-#REF!</f>
        <v>#REF!</v>
      </c>
    </row>
    <row r="68" spans="1:24" x14ac:dyDescent="0.2">
      <c r="A68" s="39"/>
      <c r="B68" s="39"/>
      <c r="C68" s="19"/>
      <c r="D68" s="39"/>
      <c r="E68" s="71"/>
      <c r="F68" s="408"/>
      <c r="G68" s="404"/>
      <c r="H68" s="403"/>
      <c r="I68" s="403"/>
      <c r="J68" s="403"/>
      <c r="K68" s="403"/>
      <c r="L68" s="403"/>
      <c r="M68" s="403"/>
      <c r="N68" s="403"/>
      <c r="O68" s="403"/>
      <c r="P68" s="403"/>
      <c r="Q68" s="403"/>
      <c r="R68" s="403"/>
      <c r="S68" s="403"/>
      <c r="T68" s="403"/>
      <c r="U68" s="43"/>
      <c r="V68" s="115"/>
      <c r="W68" s="55"/>
      <c r="X68" s="38"/>
    </row>
    <row r="69" spans="1:24" hidden="1" x14ac:dyDescent="0.2">
      <c r="A69" s="39"/>
      <c r="B69" s="39"/>
      <c r="C69" s="19"/>
      <c r="D69" s="39" t="s">
        <v>562</v>
      </c>
      <c r="E69" s="39"/>
      <c r="F69" s="408"/>
      <c r="G69" s="404">
        <f t="shared" ref="G69:S69" si="15">SUM(G70:G74)</f>
        <v>0</v>
      </c>
      <c r="H69" s="404">
        <f t="shared" si="15"/>
        <v>0</v>
      </c>
      <c r="I69" s="404">
        <f t="shared" si="15"/>
        <v>0</v>
      </c>
      <c r="J69" s="404">
        <f t="shared" si="15"/>
        <v>0</v>
      </c>
      <c r="K69" s="404">
        <f t="shared" si="15"/>
        <v>0</v>
      </c>
      <c r="L69" s="404">
        <f t="shared" si="15"/>
        <v>0</v>
      </c>
      <c r="M69" s="404">
        <f t="shared" si="15"/>
        <v>0</v>
      </c>
      <c r="N69" s="404">
        <f t="shared" si="15"/>
        <v>0</v>
      </c>
      <c r="O69" s="404">
        <f t="shared" si="15"/>
        <v>0</v>
      </c>
      <c r="P69" s="404">
        <f t="shared" si="15"/>
        <v>0</v>
      </c>
      <c r="Q69" s="404">
        <f t="shared" si="15"/>
        <v>0</v>
      </c>
      <c r="R69" s="404">
        <f t="shared" si="15"/>
        <v>0</v>
      </c>
      <c r="S69" s="404">
        <f t="shared" si="15"/>
        <v>0</v>
      </c>
      <c r="T69" s="403">
        <f>SUM(T70:T74)</f>
        <v>0</v>
      </c>
      <c r="U69" s="43"/>
      <c r="V69" s="115"/>
      <c r="W69" s="55" t="e">
        <f>#REF!-#REF!</f>
        <v>#REF!</v>
      </c>
      <c r="X69" s="38" t="e">
        <f>SUM(#REF!)-#REF!</f>
        <v>#REF!</v>
      </c>
    </row>
    <row r="70" spans="1:24" hidden="1" x14ac:dyDescent="0.2">
      <c r="A70" s="39"/>
      <c r="B70" s="39"/>
      <c r="C70" s="19"/>
      <c r="D70" s="39"/>
      <c r="E70" s="39" t="s">
        <v>558</v>
      </c>
      <c r="F70" s="408"/>
      <c r="G70" s="404">
        <f>[51]summary!$H$55</f>
        <v>0</v>
      </c>
      <c r="H70" s="404">
        <f>[51]summary!$M$55</f>
        <v>0</v>
      </c>
      <c r="I70" s="404">
        <f>[52]summary!$R$55</f>
        <v>0</v>
      </c>
      <c r="J70" s="404">
        <v>0</v>
      </c>
      <c r="K70" s="404">
        <v>0</v>
      </c>
      <c r="L70" s="404">
        <v>0</v>
      </c>
      <c r="M70" s="404">
        <v>0</v>
      </c>
      <c r="N70" s="404">
        <v>0</v>
      </c>
      <c r="O70" s="404">
        <v>0</v>
      </c>
      <c r="P70" s="404">
        <v>0</v>
      </c>
      <c r="Q70" s="404">
        <v>0</v>
      </c>
      <c r="R70" s="404">
        <v>0</v>
      </c>
      <c r="S70" s="404">
        <f>[53]summary!$BP$55</f>
        <v>0</v>
      </c>
      <c r="T70" s="403">
        <f>SUM(H70:S70)</f>
        <v>0</v>
      </c>
      <c r="U70" s="43"/>
      <c r="V70" s="115"/>
      <c r="W70" s="55" t="e">
        <f>#REF!-#REF!</f>
        <v>#REF!</v>
      </c>
      <c r="X70" s="38" t="e">
        <f>SUM(#REF!)-#REF!</f>
        <v>#REF!</v>
      </c>
    </row>
    <row r="71" spans="1:24" hidden="1" x14ac:dyDescent="0.2">
      <c r="A71" s="39"/>
      <c r="B71" s="39"/>
      <c r="C71" s="19"/>
      <c r="D71" s="39"/>
      <c r="E71" s="39" t="s">
        <v>559</v>
      </c>
      <c r="F71" s="408"/>
      <c r="G71" s="404">
        <f>[51]summary!$H$56</f>
        <v>0</v>
      </c>
      <c r="H71" s="404">
        <f>[51]summary!$M$56</f>
        <v>0</v>
      </c>
      <c r="I71" s="404">
        <f>[52]summary!$R$56</f>
        <v>0</v>
      </c>
      <c r="J71" s="404">
        <v>0</v>
      </c>
      <c r="K71" s="404">
        <v>0</v>
      </c>
      <c r="L71" s="404">
        <v>0</v>
      </c>
      <c r="M71" s="404">
        <v>0</v>
      </c>
      <c r="N71" s="404">
        <v>0</v>
      </c>
      <c r="O71" s="404">
        <v>0</v>
      </c>
      <c r="P71" s="404">
        <v>0</v>
      </c>
      <c r="Q71" s="404">
        <v>0</v>
      </c>
      <c r="R71" s="404">
        <v>0</v>
      </c>
      <c r="S71" s="404">
        <f>[53]summary!$BP$56</f>
        <v>0</v>
      </c>
      <c r="T71" s="403">
        <f>SUM(H71:S71)</f>
        <v>0</v>
      </c>
      <c r="U71" s="43"/>
      <c r="V71" s="115"/>
      <c r="W71" s="55" t="e">
        <f>#REF!-#REF!</f>
        <v>#REF!</v>
      </c>
      <c r="X71" s="38" t="e">
        <f>SUM(#REF!)-#REF!</f>
        <v>#REF!</v>
      </c>
    </row>
    <row r="72" spans="1:24" hidden="1" x14ac:dyDescent="0.2">
      <c r="A72" s="39"/>
      <c r="B72" s="39"/>
      <c r="C72" s="19"/>
      <c r="D72" s="39"/>
      <c r="E72" s="39" t="s">
        <v>570</v>
      </c>
      <c r="F72" s="408"/>
      <c r="G72" s="404"/>
      <c r="H72" s="404"/>
      <c r="I72" s="404"/>
      <c r="J72" s="404"/>
      <c r="K72" s="404"/>
      <c r="L72" s="404"/>
      <c r="M72" s="404"/>
      <c r="N72" s="404"/>
      <c r="O72" s="404"/>
      <c r="P72" s="404"/>
      <c r="Q72" s="404"/>
      <c r="R72" s="404"/>
      <c r="S72" s="404"/>
      <c r="T72" s="403"/>
      <c r="U72" s="43"/>
      <c r="V72" s="115"/>
      <c r="W72" s="55" t="e">
        <f>#REF!-#REF!</f>
        <v>#REF!</v>
      </c>
      <c r="X72" s="38" t="e">
        <f>SUM(#REF!)-#REF!</f>
        <v>#REF!</v>
      </c>
    </row>
    <row r="73" spans="1:24" hidden="1" x14ac:dyDescent="0.2">
      <c r="A73" s="39"/>
      <c r="B73" s="39"/>
      <c r="C73" s="19"/>
      <c r="D73" s="39"/>
      <c r="E73" s="71" t="s">
        <v>568</v>
      </c>
      <c r="F73" s="408"/>
      <c r="G73" s="404">
        <f>[51]summary!$H$58</f>
        <v>0</v>
      </c>
      <c r="H73" s="404">
        <f>[51]summary!$M$58</f>
        <v>0</v>
      </c>
      <c r="I73" s="404">
        <f>[52]summary!$R$58</f>
        <v>0</v>
      </c>
      <c r="J73" s="404">
        <v>0</v>
      </c>
      <c r="K73" s="404">
        <v>0</v>
      </c>
      <c r="L73" s="404">
        <v>0</v>
      </c>
      <c r="M73" s="404">
        <v>0</v>
      </c>
      <c r="N73" s="404">
        <v>0</v>
      </c>
      <c r="O73" s="404">
        <v>0</v>
      </c>
      <c r="P73" s="404">
        <v>0</v>
      </c>
      <c r="Q73" s="404">
        <v>0</v>
      </c>
      <c r="R73" s="404">
        <v>0</v>
      </c>
      <c r="S73" s="404">
        <f>[53]summary!$BP$58</f>
        <v>0</v>
      </c>
      <c r="T73" s="403">
        <f>SUM(H73:S73)</f>
        <v>0</v>
      </c>
      <c r="U73" s="43"/>
      <c r="V73" s="115"/>
      <c r="W73" s="55" t="e">
        <f>#REF!-#REF!</f>
        <v>#REF!</v>
      </c>
      <c r="X73" s="38" t="e">
        <f>SUM(#REF!)-#REF!</f>
        <v>#REF!</v>
      </c>
    </row>
    <row r="74" spans="1:24" hidden="1" x14ac:dyDescent="0.2">
      <c r="A74" s="39"/>
      <c r="B74" s="39"/>
      <c r="C74" s="19"/>
      <c r="D74" s="39"/>
      <c r="E74" s="71" t="s">
        <v>569</v>
      </c>
      <c r="F74" s="408"/>
      <c r="G74" s="404">
        <f>[51]summary!$H$59</f>
        <v>0</v>
      </c>
      <c r="H74" s="404">
        <f>[51]summary!$M$59</f>
        <v>0</v>
      </c>
      <c r="I74" s="404">
        <f>[52]summary!$R$59</f>
        <v>0</v>
      </c>
      <c r="J74" s="404">
        <v>0</v>
      </c>
      <c r="K74" s="404">
        <v>0</v>
      </c>
      <c r="L74" s="404">
        <v>0</v>
      </c>
      <c r="M74" s="404">
        <v>0</v>
      </c>
      <c r="N74" s="404">
        <v>0</v>
      </c>
      <c r="O74" s="404">
        <v>0</v>
      </c>
      <c r="P74" s="404">
        <v>0</v>
      </c>
      <c r="Q74" s="404">
        <v>0</v>
      </c>
      <c r="R74" s="404">
        <v>0</v>
      </c>
      <c r="S74" s="404">
        <f>[53]summary!$BP$59</f>
        <v>0</v>
      </c>
      <c r="T74" s="403">
        <f>SUM(H74:S74)</f>
        <v>0</v>
      </c>
      <c r="U74" s="43"/>
      <c r="V74" s="115"/>
      <c r="W74" s="55" t="e">
        <f>#REF!-#REF!</f>
        <v>#REF!</v>
      </c>
      <c r="X74" s="38" t="e">
        <f>SUM(#REF!)-#REF!</f>
        <v>#REF!</v>
      </c>
    </row>
    <row r="75" spans="1:24" hidden="1" x14ac:dyDescent="0.2">
      <c r="A75" s="39"/>
      <c r="B75" s="39"/>
      <c r="C75" s="19"/>
      <c r="D75" s="39"/>
      <c r="E75" s="71"/>
      <c r="F75" s="408"/>
      <c r="G75" s="404"/>
      <c r="H75" s="404"/>
      <c r="I75" s="404"/>
      <c r="J75" s="404"/>
      <c r="K75" s="404"/>
      <c r="L75" s="404"/>
      <c r="M75" s="404"/>
      <c r="N75" s="404"/>
      <c r="O75" s="404"/>
      <c r="P75" s="404"/>
      <c r="Q75" s="404"/>
      <c r="R75" s="404"/>
      <c r="S75" s="404"/>
      <c r="T75" s="403"/>
      <c r="U75" s="43"/>
      <c r="V75" s="115"/>
      <c r="W75" s="55" t="e">
        <f>#REF!-#REF!</f>
        <v>#REF!</v>
      </c>
      <c r="X75" s="38" t="e">
        <f>SUM(#REF!)-#REF!</f>
        <v>#REF!</v>
      </c>
    </row>
    <row r="76" spans="1:24" hidden="1" x14ac:dyDescent="0.2">
      <c r="A76" s="39"/>
      <c r="B76" s="39"/>
      <c r="C76" s="19"/>
      <c r="D76" s="39" t="s">
        <v>571</v>
      </c>
      <c r="E76" s="39"/>
      <c r="F76" s="408"/>
      <c r="G76" s="404">
        <v>0</v>
      </c>
      <c r="H76" s="404">
        <f t="shared" ref="H76:S76" si="16">SUM(H77:H81)</f>
        <v>0</v>
      </c>
      <c r="I76" s="404">
        <f t="shared" si="16"/>
        <v>0</v>
      </c>
      <c r="J76" s="404">
        <f t="shared" si="16"/>
        <v>0</v>
      </c>
      <c r="K76" s="404">
        <f t="shared" si="16"/>
        <v>0</v>
      </c>
      <c r="L76" s="404">
        <f t="shared" si="16"/>
        <v>0</v>
      </c>
      <c r="M76" s="404">
        <f t="shared" si="16"/>
        <v>0</v>
      </c>
      <c r="N76" s="404">
        <f t="shared" si="16"/>
        <v>0</v>
      </c>
      <c r="O76" s="404">
        <f t="shared" si="16"/>
        <v>0</v>
      </c>
      <c r="P76" s="404">
        <f t="shared" si="16"/>
        <v>0</v>
      </c>
      <c r="Q76" s="404">
        <f t="shared" si="16"/>
        <v>0</v>
      </c>
      <c r="R76" s="404">
        <f t="shared" si="16"/>
        <v>0</v>
      </c>
      <c r="S76" s="404">
        <f t="shared" si="16"/>
        <v>0</v>
      </c>
      <c r="T76" s="403">
        <f>SUM(T77:T81)</f>
        <v>0</v>
      </c>
      <c r="U76" s="43"/>
      <c r="V76" s="115"/>
      <c r="W76" s="55" t="e">
        <f>#REF!-#REF!</f>
        <v>#REF!</v>
      </c>
      <c r="X76" s="38" t="e">
        <f>SUM(#REF!)-#REF!</f>
        <v>#REF!</v>
      </c>
    </row>
    <row r="77" spans="1:24" hidden="1" x14ac:dyDescent="0.2">
      <c r="A77" s="39"/>
      <c r="B77" s="39"/>
      <c r="C77" s="19"/>
      <c r="D77" s="39"/>
      <c r="E77" s="39" t="s">
        <v>558</v>
      </c>
      <c r="F77" s="408"/>
      <c r="G77" s="404">
        <v>0</v>
      </c>
      <c r="H77" s="404">
        <v>0</v>
      </c>
      <c r="I77" s="404">
        <v>0</v>
      </c>
      <c r="J77" s="404">
        <v>0</v>
      </c>
      <c r="K77" s="404">
        <v>0</v>
      </c>
      <c r="L77" s="404">
        <v>0</v>
      </c>
      <c r="M77" s="404">
        <v>0</v>
      </c>
      <c r="N77" s="404">
        <v>0</v>
      </c>
      <c r="O77" s="404">
        <v>0</v>
      </c>
      <c r="P77" s="404">
        <v>0</v>
      </c>
      <c r="Q77" s="404">
        <v>0</v>
      </c>
      <c r="R77" s="404">
        <v>0</v>
      </c>
      <c r="S77" s="404">
        <v>0</v>
      </c>
      <c r="T77" s="403">
        <f>SUM(H77:S77)</f>
        <v>0</v>
      </c>
      <c r="U77" s="43"/>
      <c r="V77" s="115"/>
      <c r="W77" s="55" t="e">
        <f>#REF!-#REF!</f>
        <v>#REF!</v>
      </c>
      <c r="X77" s="38" t="e">
        <f>SUM(#REF!)-#REF!</f>
        <v>#REF!</v>
      </c>
    </row>
    <row r="78" spans="1:24" hidden="1" x14ac:dyDescent="0.2">
      <c r="A78" s="39"/>
      <c r="B78" s="39"/>
      <c r="C78" s="19"/>
      <c r="D78" s="39"/>
      <c r="E78" s="39" t="s">
        <v>559</v>
      </c>
      <c r="F78" s="408"/>
      <c r="G78" s="404">
        <v>0</v>
      </c>
      <c r="H78" s="404">
        <v>0</v>
      </c>
      <c r="I78" s="404">
        <v>0</v>
      </c>
      <c r="J78" s="404">
        <v>0</v>
      </c>
      <c r="K78" s="404">
        <v>0</v>
      </c>
      <c r="L78" s="404">
        <v>0</v>
      </c>
      <c r="M78" s="404">
        <v>0</v>
      </c>
      <c r="N78" s="404">
        <v>0</v>
      </c>
      <c r="O78" s="404">
        <v>0</v>
      </c>
      <c r="P78" s="404">
        <v>0</v>
      </c>
      <c r="Q78" s="404">
        <v>0</v>
      </c>
      <c r="R78" s="404">
        <v>0</v>
      </c>
      <c r="S78" s="404">
        <v>0</v>
      </c>
      <c r="T78" s="403">
        <f>SUM(H78:S78)</f>
        <v>0</v>
      </c>
      <c r="U78" s="43"/>
      <c r="V78" s="115"/>
      <c r="W78" s="55" t="e">
        <f>#REF!-#REF!</f>
        <v>#REF!</v>
      </c>
      <c r="X78" s="38" t="e">
        <f>SUM(#REF!)-#REF!</f>
        <v>#REF!</v>
      </c>
    </row>
    <row r="79" spans="1:24" hidden="1" x14ac:dyDescent="0.2">
      <c r="A79" s="39"/>
      <c r="B79" s="39"/>
      <c r="C79" s="19"/>
      <c r="D79" s="39"/>
      <c r="E79" s="39" t="s">
        <v>572</v>
      </c>
      <c r="F79" s="408"/>
      <c r="G79" s="404"/>
      <c r="H79" s="404"/>
      <c r="I79" s="404"/>
      <c r="J79" s="404"/>
      <c r="K79" s="404"/>
      <c r="L79" s="404"/>
      <c r="M79" s="404"/>
      <c r="N79" s="404"/>
      <c r="O79" s="404"/>
      <c r="P79" s="404"/>
      <c r="Q79" s="404"/>
      <c r="R79" s="404"/>
      <c r="S79" s="404"/>
      <c r="T79" s="403"/>
      <c r="U79" s="43"/>
      <c r="V79" s="115"/>
      <c r="W79" s="55" t="e">
        <f>#REF!-#REF!</f>
        <v>#REF!</v>
      </c>
      <c r="X79" s="38" t="e">
        <f>SUM(#REF!)-#REF!</f>
        <v>#REF!</v>
      </c>
    </row>
    <row r="80" spans="1:24" hidden="1" x14ac:dyDescent="0.2">
      <c r="A80" s="39"/>
      <c r="B80" s="39"/>
      <c r="C80" s="19"/>
      <c r="D80" s="39"/>
      <c r="E80" s="71" t="s">
        <v>568</v>
      </c>
      <c r="F80" s="408"/>
      <c r="G80" s="404">
        <v>0</v>
      </c>
      <c r="H80" s="404">
        <v>0</v>
      </c>
      <c r="I80" s="404">
        <v>0</v>
      </c>
      <c r="J80" s="404">
        <v>0</v>
      </c>
      <c r="K80" s="404">
        <v>0</v>
      </c>
      <c r="L80" s="404">
        <v>0</v>
      </c>
      <c r="M80" s="404">
        <v>0</v>
      </c>
      <c r="N80" s="404">
        <v>0</v>
      </c>
      <c r="O80" s="404">
        <v>0</v>
      </c>
      <c r="P80" s="404">
        <v>0</v>
      </c>
      <c r="Q80" s="404">
        <v>0</v>
      </c>
      <c r="R80" s="404">
        <v>0</v>
      </c>
      <c r="S80" s="404">
        <v>0</v>
      </c>
      <c r="T80" s="403">
        <f>SUM(H80:S80)</f>
        <v>0</v>
      </c>
      <c r="U80" s="43"/>
      <c r="V80" s="115"/>
      <c r="W80" s="55" t="e">
        <f>#REF!-#REF!</f>
        <v>#REF!</v>
      </c>
      <c r="X80" s="38" t="e">
        <f>SUM(#REF!)-#REF!</f>
        <v>#REF!</v>
      </c>
    </row>
    <row r="81" spans="1:24" hidden="1" x14ac:dyDescent="0.2">
      <c r="A81" s="39"/>
      <c r="B81" s="39"/>
      <c r="C81" s="19"/>
      <c r="D81" s="39"/>
      <c r="E81" s="71" t="s">
        <v>569</v>
      </c>
      <c r="F81" s="408"/>
      <c r="G81" s="404">
        <v>0</v>
      </c>
      <c r="H81" s="404">
        <v>0</v>
      </c>
      <c r="I81" s="404">
        <v>0</v>
      </c>
      <c r="J81" s="404">
        <v>0</v>
      </c>
      <c r="K81" s="404">
        <v>0</v>
      </c>
      <c r="L81" s="404">
        <v>0</v>
      </c>
      <c r="M81" s="404">
        <v>0</v>
      </c>
      <c r="N81" s="404">
        <v>0</v>
      </c>
      <c r="O81" s="404">
        <v>0</v>
      </c>
      <c r="P81" s="404">
        <v>0</v>
      </c>
      <c r="Q81" s="404">
        <v>0</v>
      </c>
      <c r="R81" s="404">
        <v>0</v>
      </c>
      <c r="S81" s="404">
        <v>0</v>
      </c>
      <c r="T81" s="403">
        <f>SUM(H81:S81)</f>
        <v>0</v>
      </c>
      <c r="U81" s="43"/>
      <c r="V81" s="115"/>
      <c r="W81" s="55" t="e">
        <f>#REF!-#REF!</f>
        <v>#REF!</v>
      </c>
      <c r="X81" s="38" t="e">
        <f>SUM(#REF!)-#REF!</f>
        <v>#REF!</v>
      </c>
    </row>
    <row r="82" spans="1:24" hidden="1" x14ac:dyDescent="0.2">
      <c r="A82" s="39"/>
      <c r="B82" s="39"/>
      <c r="C82" s="19"/>
      <c r="D82" s="39"/>
      <c r="E82" s="39"/>
      <c r="F82" s="408"/>
      <c r="G82" s="404"/>
      <c r="H82" s="403"/>
      <c r="I82" s="403"/>
      <c r="J82" s="403"/>
      <c r="K82" s="403"/>
      <c r="L82" s="403"/>
      <c r="M82" s="403"/>
      <c r="N82" s="403"/>
      <c r="O82" s="403"/>
      <c r="P82" s="403"/>
      <c r="Q82" s="403"/>
      <c r="R82" s="403"/>
      <c r="S82" s="403"/>
      <c r="T82" s="403"/>
      <c r="U82" s="43"/>
      <c r="V82" s="115"/>
      <c r="W82" s="55" t="e">
        <f>#REF!-#REF!</f>
        <v>#REF!</v>
      </c>
      <c r="X82" s="38" t="e">
        <f>SUM(#REF!)-#REF!</f>
        <v>#REF!</v>
      </c>
    </row>
    <row r="83" spans="1:24" hidden="1" x14ac:dyDescent="0.2">
      <c r="A83" s="39"/>
      <c r="B83" s="39"/>
      <c r="C83" s="19"/>
      <c r="D83" s="39"/>
      <c r="E83" s="39"/>
      <c r="F83" s="114"/>
      <c r="G83" s="404"/>
      <c r="H83" s="403"/>
      <c r="I83" s="403"/>
      <c r="J83" s="403"/>
      <c r="K83" s="403"/>
      <c r="L83" s="403"/>
      <c r="M83" s="403"/>
      <c r="N83" s="403"/>
      <c r="O83" s="403"/>
      <c r="P83" s="403"/>
      <c r="Q83" s="403"/>
      <c r="R83" s="403"/>
      <c r="S83" s="403"/>
      <c r="T83" s="403"/>
      <c r="U83" s="43"/>
      <c r="V83" s="115"/>
      <c r="W83" s="55" t="e">
        <f>#REF!-#REF!</f>
        <v>#REF!</v>
      </c>
      <c r="X83" s="38" t="e">
        <f>SUM(#REF!)-#REF!</f>
        <v>#REF!</v>
      </c>
    </row>
    <row r="84" spans="1:24" s="24" customFormat="1" x14ac:dyDescent="0.2">
      <c r="A84" s="7"/>
      <c r="B84" s="7"/>
      <c r="C84" s="17" t="s">
        <v>573</v>
      </c>
      <c r="D84" s="7"/>
      <c r="E84" s="7"/>
      <c r="F84" s="397" t="s">
        <v>574</v>
      </c>
      <c r="G84" s="399">
        <f t="shared" ref="G84:L84" si="17">SUM(G85:G88)</f>
        <v>43058433.447741508</v>
      </c>
      <c r="H84" s="398">
        <f t="shared" si="17"/>
        <v>15659489</v>
      </c>
      <c r="I84" s="398">
        <f t="shared" si="17"/>
        <v>-128367.74399999995</v>
      </c>
      <c r="J84" s="398">
        <f>SUM(J85:J88)</f>
        <v>-20445485</v>
      </c>
      <c r="K84" s="398">
        <f t="shared" si="17"/>
        <v>-78401907</v>
      </c>
      <c r="L84" s="398">
        <f t="shared" si="17"/>
        <v>68828004</v>
      </c>
      <c r="M84" s="398">
        <f>SUM(M85:M88)</f>
        <v>-19226275</v>
      </c>
      <c r="N84" s="398">
        <f>SUM(N85:N88)</f>
        <v>298709835</v>
      </c>
      <c r="O84" s="398">
        <f t="shared" ref="O84:S84" si="18">SUM(O85:O88)</f>
        <v>0</v>
      </c>
      <c r="P84" s="398">
        <f>SUM(P85:P88)</f>
        <v>0</v>
      </c>
      <c r="Q84" s="398">
        <f t="shared" si="18"/>
        <v>0</v>
      </c>
      <c r="R84" s="398">
        <f>SUM(R85:R88)</f>
        <v>0</v>
      </c>
      <c r="S84" s="398">
        <f t="shared" si="18"/>
        <v>0</v>
      </c>
      <c r="T84" s="398">
        <f>SUM(T85:T88)</f>
        <v>-33714541.744000003</v>
      </c>
      <c r="U84" s="85"/>
      <c r="V84" s="290"/>
      <c r="W84" s="55" t="e">
        <f>#REF!-#REF!</f>
        <v>#REF!</v>
      </c>
      <c r="X84" s="38" t="e">
        <f>SUM(#REF!)-#REF!</f>
        <v>#REF!</v>
      </c>
    </row>
    <row r="85" spans="1:24" x14ac:dyDescent="0.2">
      <c r="A85" s="39"/>
      <c r="B85" s="39"/>
      <c r="C85" s="19"/>
      <c r="D85" s="39"/>
      <c r="E85" s="39" t="s">
        <v>575</v>
      </c>
      <c r="F85" s="114"/>
      <c r="G85" s="404">
        <f>[17]cashbalances!$H$28</f>
        <v>4082765.4477415099</v>
      </c>
      <c r="H85" s="403">
        <f>[14]summary!$M$73+[14]summary!$M$74</f>
        <v>0</v>
      </c>
      <c r="I85" s="403">
        <f>[15]cashbalances!$R$27+[15]cashbalances!$R$32</f>
        <v>871744.25600000005</v>
      </c>
      <c r="J85" s="403">
        <f>[16]summary!$W$72+[16]summary!$W$73</f>
        <v>0</v>
      </c>
      <c r="K85" s="403">
        <f>[13]summary!$AB$72+[13]summary!$AB$73</f>
        <v>104039</v>
      </c>
      <c r="L85" s="403">
        <f>[17]summary!$AG$72+[17]summary!$AG$73</f>
        <v>0</v>
      </c>
      <c r="M85" s="403">
        <f>[18]summary!$AL$73+[18]summary!$AL$72</f>
        <v>3836</v>
      </c>
      <c r="N85" s="403">
        <v>0</v>
      </c>
      <c r="O85" s="403">
        <v>0</v>
      </c>
      <c r="P85" s="403">
        <v>0</v>
      </c>
      <c r="Q85" s="403">
        <v>0</v>
      </c>
      <c r="R85" s="403">
        <v>0</v>
      </c>
      <c r="S85" s="403">
        <v>0</v>
      </c>
      <c r="T85" s="403">
        <f>SUM(H85:S85)</f>
        <v>979619.25600000005</v>
      </c>
      <c r="U85" s="43"/>
      <c r="V85" s="115"/>
      <c r="W85" s="55" t="e">
        <f>#REF!-#REF!</f>
        <v>#REF!</v>
      </c>
      <c r="X85" s="38" t="e">
        <f>SUM(#REF!)-#REF!</f>
        <v>#REF!</v>
      </c>
    </row>
    <row r="86" spans="1:24" x14ac:dyDescent="0.2">
      <c r="A86" s="39"/>
      <c r="B86" s="39"/>
      <c r="C86" s="19"/>
      <c r="D86" s="39"/>
      <c r="E86" s="39" t="s">
        <v>576</v>
      </c>
      <c r="F86" s="419"/>
      <c r="G86" s="403">
        <f>[13]summary!$H$70</f>
        <v>0</v>
      </c>
      <c r="H86" s="420">
        <f>[14]summary!$M$71</f>
        <v>34143659</v>
      </c>
      <c r="I86" s="420">
        <f>[15]cashbalances!$R$23</f>
        <v>-4349966</v>
      </c>
      <c r="J86" s="420">
        <f>[16]summary!$W$70</f>
        <v>2527515</v>
      </c>
      <c r="K86" s="420">
        <f>[13]summary!$AB$70</f>
        <v>-24856159</v>
      </c>
      <c r="L86" s="420">
        <f>[17]summary!$AG$70</f>
        <v>26866570</v>
      </c>
      <c r="M86" s="420">
        <f>[18]summary!$AL$70</f>
        <v>-5977613</v>
      </c>
      <c r="N86" s="420">
        <v>0</v>
      </c>
      <c r="O86" s="420">
        <v>0</v>
      </c>
      <c r="P86" s="420">
        <v>0</v>
      </c>
      <c r="Q86" s="420">
        <v>0</v>
      </c>
      <c r="R86" s="420">
        <v>0</v>
      </c>
      <c r="S86" s="420">
        <v>0</v>
      </c>
      <c r="T86" s="403">
        <f>SUM(H86:S86)</f>
        <v>28354006</v>
      </c>
      <c r="U86" s="43"/>
      <c r="V86" s="115"/>
      <c r="W86" s="55" t="e">
        <f>#REF!-#REF!</f>
        <v>#REF!</v>
      </c>
      <c r="X86" s="38" t="e">
        <f>SUM(#REF!)-#REF!</f>
        <v>#REF!</v>
      </c>
    </row>
    <row r="87" spans="1:24" x14ac:dyDescent="0.2">
      <c r="A87" s="39"/>
      <c r="B87" s="39"/>
      <c r="C87" s="19"/>
      <c r="D87" s="39"/>
      <c r="E87" s="39" t="s">
        <v>362</v>
      </c>
      <c r="F87" s="114"/>
      <c r="G87" s="404">
        <f>[13]summary!$H$71</f>
        <v>0</v>
      </c>
      <c r="H87" s="403">
        <f>[14]summary!$M$72</f>
        <v>0</v>
      </c>
      <c r="I87" s="403">
        <f>[15]cashbalances!$R$25</f>
        <v>0</v>
      </c>
      <c r="J87" s="403">
        <f>[16]summary!$W$71</f>
        <v>0</v>
      </c>
      <c r="K87" s="403">
        <f>[13]summary!$AB$71</f>
        <v>0</v>
      </c>
      <c r="L87" s="403">
        <f>[17]summary!$AG$71</f>
        <v>0</v>
      </c>
      <c r="M87" s="403">
        <f>[18]summary!$AL$71</f>
        <v>0</v>
      </c>
      <c r="N87" s="403">
        <v>0</v>
      </c>
      <c r="O87" s="403">
        <v>0</v>
      </c>
      <c r="P87" s="403">
        <v>0</v>
      </c>
      <c r="Q87" s="403">
        <v>0</v>
      </c>
      <c r="R87" s="403">
        <v>0</v>
      </c>
      <c r="S87" s="403">
        <v>0</v>
      </c>
      <c r="T87" s="403">
        <v>0</v>
      </c>
      <c r="U87" s="43"/>
      <c r="V87" s="115"/>
      <c r="W87" s="55" t="e">
        <f>#REF!-#REF!</f>
        <v>#REF!</v>
      </c>
      <c r="X87" s="38" t="e">
        <f>SUM(#REF!)-#REF!</f>
        <v>#REF!</v>
      </c>
    </row>
    <row r="88" spans="1:24" x14ac:dyDescent="0.2">
      <c r="A88" s="39"/>
      <c r="B88" s="39"/>
      <c r="C88" s="19"/>
      <c r="D88" s="39"/>
      <c r="E88" s="39" t="s">
        <v>577</v>
      </c>
      <c r="F88" s="114"/>
      <c r="G88" s="404">
        <f>+G92</f>
        <v>38975668</v>
      </c>
      <c r="H88" s="403">
        <f>+H92</f>
        <v>-18484170</v>
      </c>
      <c r="I88" s="403">
        <f>+I92</f>
        <v>3349854</v>
      </c>
      <c r="J88" s="403">
        <f>+J92</f>
        <v>-22973000</v>
      </c>
      <c r="K88" s="403">
        <f>+K92</f>
        <v>-53649787</v>
      </c>
      <c r="L88" s="403">
        <f>L92</f>
        <v>41961434</v>
      </c>
      <c r="M88" s="403">
        <f t="shared" ref="M88:R88" si="19">M92</f>
        <v>-13252498</v>
      </c>
      <c r="N88" s="403">
        <f>N92</f>
        <v>298709835</v>
      </c>
      <c r="O88" s="403">
        <f t="shared" si="19"/>
        <v>0</v>
      </c>
      <c r="P88" s="403">
        <f>P92</f>
        <v>0</v>
      </c>
      <c r="Q88" s="403">
        <f t="shared" si="19"/>
        <v>0</v>
      </c>
      <c r="R88" s="403">
        <f t="shared" si="19"/>
        <v>0</v>
      </c>
      <c r="S88" s="403">
        <f>S92</f>
        <v>0</v>
      </c>
      <c r="T88" s="403">
        <f t="shared" ref="T88" si="20">+T92</f>
        <v>-63048167</v>
      </c>
      <c r="U88" s="43"/>
      <c r="V88" s="115"/>
      <c r="W88" s="55" t="e">
        <f>#REF!-#REF!</f>
        <v>#REF!</v>
      </c>
      <c r="X88" s="38" t="e">
        <f>SUM(#REF!)-#REF!</f>
        <v>#REF!</v>
      </c>
    </row>
    <row r="89" spans="1:24" x14ac:dyDescent="0.2">
      <c r="A89" s="39"/>
      <c r="B89" s="39"/>
      <c r="C89" s="106"/>
      <c r="D89" s="107"/>
      <c r="E89" s="107"/>
      <c r="F89" s="421"/>
      <c r="G89" s="422"/>
      <c r="H89" s="423"/>
      <c r="I89" s="423"/>
      <c r="J89" s="423"/>
      <c r="K89" s="423"/>
      <c r="L89" s="423"/>
      <c r="M89" s="423"/>
      <c r="N89" s="423"/>
      <c r="O89" s="423"/>
      <c r="P89" s="423"/>
      <c r="Q89" s="423"/>
      <c r="R89" s="423"/>
      <c r="S89" s="423"/>
      <c r="T89" s="423"/>
      <c r="U89" s="43"/>
      <c r="V89" s="115"/>
      <c r="W89" s="55"/>
      <c r="X89" s="38"/>
    </row>
    <row r="90" spans="1:24" x14ac:dyDescent="0.2">
      <c r="A90" s="39"/>
      <c r="B90" s="39"/>
      <c r="C90" s="39"/>
      <c r="D90" s="39"/>
      <c r="E90" s="39"/>
      <c r="F90" s="114"/>
      <c r="G90" s="424"/>
      <c r="H90" s="424"/>
      <c r="I90" s="424"/>
      <c r="J90" s="424"/>
      <c r="K90" s="424"/>
      <c r="L90" s="424"/>
      <c r="M90" s="424"/>
      <c r="N90" s="424"/>
      <c r="O90" s="424"/>
      <c r="P90" s="424"/>
      <c r="Q90" s="424"/>
      <c r="R90" s="424"/>
      <c r="S90" s="424"/>
      <c r="T90" s="424"/>
      <c r="U90" s="43"/>
      <c r="V90" s="115"/>
      <c r="W90" s="55"/>
      <c r="X90" s="38"/>
    </row>
    <row r="91" spans="1:24" x14ac:dyDescent="0.2">
      <c r="A91" s="39"/>
      <c r="B91" s="386"/>
      <c r="C91" s="425"/>
      <c r="D91" s="426"/>
      <c r="E91" s="427"/>
      <c r="F91" s="428"/>
      <c r="G91" s="429"/>
      <c r="H91" s="430"/>
      <c r="I91" s="430"/>
      <c r="J91" s="430"/>
      <c r="K91" s="430"/>
      <c r="L91" s="430"/>
      <c r="M91" s="430"/>
      <c r="N91" s="430"/>
      <c r="O91" s="430"/>
      <c r="P91" s="430"/>
      <c r="Q91" s="430"/>
      <c r="R91" s="430"/>
      <c r="S91" s="430"/>
      <c r="T91" s="429"/>
      <c r="U91" s="85"/>
      <c r="V91" s="115"/>
      <c r="W91" s="55"/>
      <c r="X91" s="38"/>
    </row>
    <row r="92" spans="1:24" s="24" customFormat="1" x14ac:dyDescent="0.2">
      <c r="A92" s="7"/>
      <c r="B92" s="405"/>
      <c r="C92" s="431" t="s">
        <v>578</v>
      </c>
      <c r="D92" s="432"/>
      <c r="E92" s="7"/>
      <c r="F92" s="397" t="s">
        <v>574</v>
      </c>
      <c r="G92" s="399">
        <f>+G94-G100</f>
        <v>38975668</v>
      </c>
      <c r="H92" s="398">
        <f t="shared" ref="H92:S92" si="21">+H94-H100</f>
        <v>-18484170</v>
      </c>
      <c r="I92" s="398">
        <f t="shared" si="21"/>
        <v>3349854</v>
      </c>
      <c r="J92" s="398">
        <f>+J94-J100</f>
        <v>-22973000</v>
      </c>
      <c r="K92" s="398">
        <f>+K94-K100</f>
        <v>-53649787</v>
      </c>
      <c r="L92" s="398">
        <f>+L94-L100</f>
        <v>41961434</v>
      </c>
      <c r="M92" s="398">
        <f t="shared" si="21"/>
        <v>-13252498</v>
      </c>
      <c r="N92" s="398">
        <f>+N94-N100</f>
        <v>298709835</v>
      </c>
      <c r="O92" s="398">
        <f t="shared" si="21"/>
        <v>0</v>
      </c>
      <c r="P92" s="398">
        <f t="shared" si="21"/>
        <v>0</v>
      </c>
      <c r="Q92" s="398">
        <f>+Q94-Q100</f>
        <v>0</v>
      </c>
      <c r="R92" s="398">
        <f t="shared" si="21"/>
        <v>0</v>
      </c>
      <c r="S92" s="398">
        <f t="shared" si="21"/>
        <v>0</v>
      </c>
      <c r="T92" s="399">
        <f>+T94-T100</f>
        <v>-63048167</v>
      </c>
      <c r="U92" s="43"/>
      <c r="V92" s="290"/>
      <c r="W92" s="55" t="e">
        <f>#REF!-#REF!</f>
        <v>#REF!</v>
      </c>
      <c r="X92" s="38" t="e">
        <f>SUM(#REF!)-#REF!</f>
        <v>#REF!</v>
      </c>
    </row>
    <row r="93" spans="1:24" x14ac:dyDescent="0.2">
      <c r="A93" s="39"/>
      <c r="B93" s="386"/>
      <c r="C93" s="433"/>
      <c r="D93" s="434"/>
      <c r="E93" s="39"/>
      <c r="F93" s="114"/>
      <c r="G93" s="404"/>
      <c r="H93" s="403"/>
      <c r="I93" s="403"/>
      <c r="J93" s="403"/>
      <c r="K93" s="403"/>
      <c r="L93" s="403"/>
      <c r="M93" s="403"/>
      <c r="N93" s="403"/>
      <c r="O93" s="403"/>
      <c r="P93" s="403"/>
      <c r="Q93" s="403"/>
      <c r="R93" s="403"/>
      <c r="S93" s="403"/>
      <c r="T93" s="404"/>
      <c r="U93" s="43"/>
      <c r="V93" s="115"/>
      <c r="W93" s="55"/>
      <c r="X93" s="38"/>
    </row>
    <row r="94" spans="1:24" x14ac:dyDescent="0.2">
      <c r="A94" s="39"/>
      <c r="B94" s="386"/>
      <c r="C94" s="19" t="s">
        <v>579</v>
      </c>
      <c r="D94" s="39"/>
      <c r="E94" s="39"/>
      <c r="F94" s="397" t="s">
        <v>580</v>
      </c>
      <c r="G94" s="435">
        <f>SUM(G95:G96)</f>
        <v>235661668</v>
      </c>
      <c r="H94" s="418">
        <f>SUM(H95:H97)</f>
        <v>235661668</v>
      </c>
      <c r="I94" s="418">
        <f t="shared" ref="I94:M94" si="22">SUM(I95:I97)</f>
        <v>254145838</v>
      </c>
      <c r="J94" s="418">
        <f t="shared" si="22"/>
        <v>250795984</v>
      </c>
      <c r="K94" s="418">
        <f t="shared" si="22"/>
        <v>273768984</v>
      </c>
      <c r="L94" s="418">
        <f t="shared" si="22"/>
        <v>327418771</v>
      </c>
      <c r="M94" s="418">
        <f t="shared" si="22"/>
        <v>285457337</v>
      </c>
      <c r="N94" s="418">
        <f>SUM(N95:N97)</f>
        <v>298709835</v>
      </c>
      <c r="O94" s="418">
        <f t="shared" ref="O94:S94" si="23">SUM(O95:O97)</f>
        <v>0</v>
      </c>
      <c r="P94" s="418">
        <f t="shared" si="23"/>
        <v>0</v>
      </c>
      <c r="Q94" s="418">
        <f t="shared" si="23"/>
        <v>0</v>
      </c>
      <c r="R94" s="418">
        <f t="shared" si="23"/>
        <v>0</v>
      </c>
      <c r="S94" s="418">
        <f t="shared" si="23"/>
        <v>0</v>
      </c>
      <c r="T94" s="417">
        <f>SUM(T95:T97)</f>
        <v>235661668</v>
      </c>
      <c r="U94" s="43"/>
      <c r="V94" s="115"/>
      <c r="W94" s="55" t="e">
        <f>#REF!-#REF!</f>
        <v>#REF!</v>
      </c>
      <c r="X94" s="38"/>
    </row>
    <row r="95" spans="1:24" x14ac:dyDescent="0.2">
      <c r="A95" s="39"/>
      <c r="B95" s="386"/>
      <c r="C95" s="436"/>
      <c r="D95" s="437"/>
      <c r="E95" s="39" t="s">
        <v>581</v>
      </c>
      <c r="F95" s="114"/>
      <c r="G95" s="404">
        <f>[13]cashbalances!$H$14</f>
        <v>191125443</v>
      </c>
      <c r="H95" s="416">
        <v>191125443</v>
      </c>
      <c r="I95" s="416">
        <f>H101</f>
        <v>188398825</v>
      </c>
      <c r="J95" s="416">
        <f>I101</f>
        <v>183966537</v>
      </c>
      <c r="K95" s="416">
        <f t="shared" ref="I95:M96" si="24">J101</f>
        <v>174786407</v>
      </c>
      <c r="L95" s="416">
        <f t="shared" si="24"/>
        <v>216993276</v>
      </c>
      <c r="M95" s="416">
        <f t="shared" si="24"/>
        <v>178904480</v>
      </c>
      <c r="N95" s="416">
        <f>M101</f>
        <v>162851119</v>
      </c>
      <c r="O95" s="416">
        <f>N101</f>
        <v>0</v>
      </c>
      <c r="P95" s="416">
        <f>O101</f>
        <v>0</v>
      </c>
      <c r="Q95" s="416">
        <f t="shared" ref="O95:Q96" si="25">P101</f>
        <v>0</v>
      </c>
      <c r="R95" s="416">
        <f>Q101</f>
        <v>0</v>
      </c>
      <c r="S95" s="416">
        <f>R101</f>
        <v>0</v>
      </c>
      <c r="T95" s="404">
        <f>H95</f>
        <v>191125443</v>
      </c>
      <c r="U95" s="43"/>
      <c r="V95" s="115"/>
      <c r="W95" s="55" t="e">
        <f>#REF!-#REF!</f>
        <v>#REF!</v>
      </c>
      <c r="X95" s="38"/>
    </row>
    <row r="96" spans="1:24" x14ac:dyDescent="0.2">
      <c r="A96" s="39"/>
      <c r="B96" s="386"/>
      <c r="C96" s="436"/>
      <c r="D96" s="437"/>
      <c r="E96" s="39" t="s">
        <v>582</v>
      </c>
      <c r="F96" s="114"/>
      <c r="G96" s="404">
        <f>[13]cashbalances!$H$15</f>
        <v>44536225</v>
      </c>
      <c r="H96" s="416">
        <v>44536225</v>
      </c>
      <c r="I96" s="416">
        <f t="shared" si="24"/>
        <v>65747013</v>
      </c>
      <c r="J96" s="416">
        <f>I102</f>
        <v>66829447</v>
      </c>
      <c r="K96" s="416">
        <f t="shared" si="24"/>
        <v>98982577</v>
      </c>
      <c r="L96" s="416">
        <f t="shared" si="24"/>
        <v>110425495</v>
      </c>
      <c r="M96" s="416">
        <f t="shared" si="24"/>
        <v>106552857</v>
      </c>
      <c r="N96" s="416">
        <f>M102</f>
        <v>135858716</v>
      </c>
      <c r="O96" s="416">
        <f t="shared" si="25"/>
        <v>0</v>
      </c>
      <c r="P96" s="416">
        <f>O102</f>
        <v>0</v>
      </c>
      <c r="Q96" s="416">
        <f t="shared" si="25"/>
        <v>0</v>
      </c>
      <c r="R96" s="416">
        <f>Q102</f>
        <v>0</v>
      </c>
      <c r="S96" s="416">
        <f>R102</f>
        <v>0</v>
      </c>
      <c r="T96" s="404">
        <f>H96</f>
        <v>44536225</v>
      </c>
      <c r="U96" s="43"/>
      <c r="V96" s="115"/>
      <c r="W96" s="55" t="e">
        <f>#REF!-#REF!</f>
        <v>#REF!</v>
      </c>
      <c r="X96" s="38"/>
    </row>
    <row r="97" spans="1:24" hidden="1" x14ac:dyDescent="0.2">
      <c r="A97" s="39"/>
      <c r="B97" s="386"/>
      <c r="C97" s="19"/>
      <c r="D97" s="39"/>
      <c r="E97" s="39" t="s">
        <v>583</v>
      </c>
      <c r="F97" s="114"/>
      <c r="G97" s="404">
        <v>0</v>
      </c>
      <c r="H97" s="403">
        <v>0</v>
      </c>
      <c r="I97" s="403">
        <v>0</v>
      </c>
      <c r="J97" s="403">
        <v>0</v>
      </c>
      <c r="K97" s="403">
        <v>0</v>
      </c>
      <c r="L97" s="403">
        <v>0</v>
      </c>
      <c r="M97" s="403">
        <v>0</v>
      </c>
      <c r="N97" s="403">
        <v>0</v>
      </c>
      <c r="O97" s="403">
        <v>0</v>
      </c>
      <c r="P97" s="403">
        <v>0</v>
      </c>
      <c r="Q97" s="403">
        <v>0</v>
      </c>
      <c r="R97" s="403">
        <v>0</v>
      </c>
      <c r="S97" s="403">
        <v>0</v>
      </c>
      <c r="T97" s="404">
        <f>H97</f>
        <v>0</v>
      </c>
      <c r="U97" s="85"/>
      <c r="V97" s="115"/>
      <c r="W97" s="55" t="e">
        <f>#REF!-#REF!</f>
        <v>#REF!</v>
      </c>
      <c r="X97" s="38"/>
    </row>
    <row r="98" spans="1:24" x14ac:dyDescent="0.2">
      <c r="A98" s="39"/>
      <c r="B98" s="386"/>
      <c r="C98" s="19"/>
      <c r="D98" s="39"/>
      <c r="E98" s="39"/>
      <c r="F98" s="114"/>
      <c r="G98" s="404"/>
      <c r="H98" s="403"/>
      <c r="I98" s="403"/>
      <c r="J98" s="403"/>
      <c r="K98" s="403"/>
      <c r="L98" s="403"/>
      <c r="M98" s="403"/>
      <c r="N98" s="403"/>
      <c r="O98" s="403"/>
      <c r="P98" s="403"/>
      <c r="Q98" s="403"/>
      <c r="R98" s="403"/>
      <c r="S98" s="403"/>
      <c r="T98" s="404"/>
      <c r="U98" s="43"/>
      <c r="V98" s="115"/>
      <c r="W98" s="55"/>
      <c r="X98" s="38"/>
    </row>
    <row r="99" spans="1:24" hidden="1" x14ac:dyDescent="0.2">
      <c r="A99" s="39"/>
      <c r="B99" s="386"/>
      <c r="C99" s="19"/>
      <c r="D99" s="39"/>
      <c r="E99" s="39"/>
      <c r="F99" s="114"/>
      <c r="G99" s="404"/>
      <c r="H99" s="403"/>
      <c r="I99" s="403"/>
      <c r="J99" s="403"/>
      <c r="K99" s="403"/>
      <c r="L99" s="403"/>
      <c r="M99" s="403"/>
      <c r="N99" s="403"/>
      <c r="O99" s="403"/>
      <c r="P99" s="403"/>
      <c r="Q99" s="403"/>
      <c r="R99" s="403"/>
      <c r="S99" s="403"/>
      <c r="T99" s="404"/>
      <c r="U99" s="43"/>
      <c r="V99" s="115"/>
      <c r="W99" s="55" t="e">
        <f>#REF!-#REF!</f>
        <v>#REF!</v>
      </c>
      <c r="X99" s="38"/>
    </row>
    <row r="100" spans="1:24" x14ac:dyDescent="0.2">
      <c r="A100" s="39"/>
      <c r="B100" s="386"/>
      <c r="C100" s="19" t="s">
        <v>584</v>
      </c>
      <c r="D100" s="39"/>
      <c r="E100" s="39"/>
      <c r="F100" s="114"/>
      <c r="G100" s="416">
        <f>SUM(G101:G103)</f>
        <v>196686000</v>
      </c>
      <c r="H100" s="403">
        <f>SUM(H101:H103)</f>
        <v>254145838</v>
      </c>
      <c r="I100" s="403">
        <f>SUM(I101:I103)</f>
        <v>250795984</v>
      </c>
      <c r="J100" s="403">
        <f>SUM(J101:J103)</f>
        <v>273768984</v>
      </c>
      <c r="K100" s="403">
        <f t="shared" ref="K100:R100" si="26">SUM(K101:K103)</f>
        <v>327418771</v>
      </c>
      <c r="L100" s="403">
        <f t="shared" si="26"/>
        <v>285457337</v>
      </c>
      <c r="M100" s="403">
        <f t="shared" si="26"/>
        <v>298709835</v>
      </c>
      <c r="N100" s="403">
        <f t="shared" si="26"/>
        <v>0</v>
      </c>
      <c r="O100" s="403">
        <f t="shared" si="26"/>
        <v>0</v>
      </c>
      <c r="P100" s="403">
        <f t="shared" si="26"/>
        <v>0</v>
      </c>
      <c r="Q100" s="403">
        <f>SUM(Q101:Q103)</f>
        <v>0</v>
      </c>
      <c r="R100" s="403">
        <f t="shared" si="26"/>
        <v>0</v>
      </c>
      <c r="S100" s="403">
        <f>SUM(S101:S103)</f>
        <v>0</v>
      </c>
      <c r="T100" s="404">
        <f>SUM(T101:T103)</f>
        <v>298709835</v>
      </c>
      <c r="U100" s="43"/>
      <c r="V100" s="115"/>
      <c r="W100" s="55" t="e">
        <f>#REF!-#REF!</f>
        <v>#REF!</v>
      </c>
      <c r="X100" s="38"/>
    </row>
    <row r="101" spans="1:24" x14ac:dyDescent="0.2">
      <c r="A101" s="39"/>
      <c r="B101" s="386"/>
      <c r="C101" s="19"/>
      <c r="D101" s="39"/>
      <c r="E101" s="39" t="s">
        <v>581</v>
      </c>
      <c r="F101" s="114"/>
      <c r="G101" s="404">
        <f>[13]cashbalances!$H$18</f>
        <v>110906000</v>
      </c>
      <c r="H101" s="416">
        <f>[14]cashbalances!$M$18</f>
        <v>188398825</v>
      </c>
      <c r="I101" s="416">
        <f>[15]cashbalances!$R$18</f>
        <v>183966537</v>
      </c>
      <c r="J101" s="416">
        <f>[16]cashbalances!$W$18</f>
        <v>174786407</v>
      </c>
      <c r="K101" s="416">
        <f>[13]cashbalances!$AB$18</f>
        <v>216993276</v>
      </c>
      <c r="L101" s="416">
        <f>[17]cashbalances!$AG$18</f>
        <v>178904480</v>
      </c>
      <c r="M101" s="416">
        <f>[18]cashbalances!$AL$18</f>
        <v>162851119</v>
      </c>
      <c r="N101" s="416">
        <v>0</v>
      </c>
      <c r="O101" s="416">
        <v>0</v>
      </c>
      <c r="P101" s="416">
        <v>0</v>
      </c>
      <c r="Q101" s="416">
        <v>0</v>
      </c>
      <c r="R101" s="416">
        <v>0</v>
      </c>
      <c r="S101" s="416">
        <v>0</v>
      </c>
      <c r="T101" s="404">
        <f>M101</f>
        <v>162851119</v>
      </c>
      <c r="U101" s="43"/>
      <c r="V101" s="115"/>
      <c r="W101" s="55" t="e">
        <f>#REF!-#REF!</f>
        <v>#REF!</v>
      </c>
      <c r="X101" s="38"/>
    </row>
    <row r="102" spans="1:24" x14ac:dyDescent="0.2">
      <c r="A102" s="39"/>
      <c r="B102" s="386"/>
      <c r="C102" s="19"/>
      <c r="D102" s="39"/>
      <c r="E102" s="39" t="s">
        <v>585</v>
      </c>
      <c r="F102" s="397"/>
      <c r="G102" s="404">
        <f>[13]cashbalances!$H$19</f>
        <v>85780000</v>
      </c>
      <c r="H102" s="416">
        <f>[14]cashbalances!$M$19</f>
        <v>65747013</v>
      </c>
      <c r="I102" s="416">
        <f>[15]cashbalances!$R$19</f>
        <v>66829447</v>
      </c>
      <c r="J102" s="416">
        <f>[16]cashbalances!$W$19</f>
        <v>98982577</v>
      </c>
      <c r="K102" s="416">
        <f>[13]cashbalances!$AB$19</f>
        <v>110425495</v>
      </c>
      <c r="L102" s="416">
        <f>[17]cashbalances!$AG$19</f>
        <v>106552857</v>
      </c>
      <c r="M102" s="416">
        <f>[18]cashbalances!$AL$19</f>
        <v>135858716</v>
      </c>
      <c r="N102" s="416">
        <v>0</v>
      </c>
      <c r="O102" s="416">
        <v>0</v>
      </c>
      <c r="P102" s="416">
        <v>0</v>
      </c>
      <c r="Q102" s="416">
        <v>0</v>
      </c>
      <c r="R102" s="416">
        <v>0</v>
      </c>
      <c r="S102" s="416">
        <v>0</v>
      </c>
      <c r="T102" s="404">
        <f>M102</f>
        <v>135858716</v>
      </c>
      <c r="U102" s="43"/>
      <c r="V102" s="115"/>
      <c r="W102" s="55" t="e">
        <f>#REF!-#REF!</f>
        <v>#REF!</v>
      </c>
      <c r="X102" s="38"/>
    </row>
    <row r="103" spans="1:24" hidden="1" x14ac:dyDescent="0.2">
      <c r="A103" s="39"/>
      <c r="B103" s="39"/>
      <c r="C103" s="19"/>
      <c r="D103" s="39"/>
      <c r="E103" s="39" t="s">
        <v>583</v>
      </c>
      <c r="F103" s="114"/>
      <c r="G103" s="404">
        <v>0</v>
      </c>
      <c r="H103" s="404">
        <v>0</v>
      </c>
      <c r="I103" s="404">
        <v>0</v>
      </c>
      <c r="J103" s="404">
        <v>0</v>
      </c>
      <c r="K103" s="404">
        <v>0</v>
      </c>
      <c r="L103" s="404">
        <v>0</v>
      </c>
      <c r="M103" s="404">
        <v>0</v>
      </c>
      <c r="N103" s="404">
        <v>0</v>
      </c>
      <c r="O103" s="404">
        <v>0</v>
      </c>
      <c r="P103" s="404">
        <v>0</v>
      </c>
      <c r="Q103" s="404">
        <v>0</v>
      </c>
      <c r="R103" s="404">
        <v>0</v>
      </c>
      <c r="S103" s="404">
        <v>0</v>
      </c>
      <c r="T103" s="403">
        <f>J103</f>
        <v>0</v>
      </c>
      <c r="U103" s="85"/>
      <c r="V103" s="115"/>
      <c r="W103" s="55" t="e">
        <f>#REF!-#REF!</f>
        <v>#REF!</v>
      </c>
      <c r="X103" s="38" t="e">
        <f>SUM(#REF!)-#REF!</f>
        <v>#REF!</v>
      </c>
    </row>
    <row r="104" spans="1:24" x14ac:dyDescent="0.2">
      <c r="A104" s="39"/>
      <c r="B104" s="39"/>
      <c r="C104" s="106"/>
      <c r="D104" s="107"/>
      <c r="E104" s="107"/>
      <c r="F104" s="421"/>
      <c r="G104" s="422"/>
      <c r="H104" s="422"/>
      <c r="I104" s="422"/>
      <c r="J104" s="422"/>
      <c r="K104" s="422"/>
      <c r="L104" s="422"/>
      <c r="M104" s="422"/>
      <c r="N104" s="422"/>
      <c r="O104" s="622"/>
      <c r="P104" s="422"/>
      <c r="Q104" s="622"/>
      <c r="R104" s="622"/>
      <c r="S104" s="422"/>
      <c r="T104" s="622"/>
      <c r="U104" s="43"/>
      <c r="V104" s="115"/>
      <c r="W104" s="55"/>
      <c r="X104" s="38"/>
    </row>
    <row r="105" spans="1:24" x14ac:dyDescent="0.2">
      <c r="A105" s="39"/>
      <c r="B105" s="39"/>
      <c r="C105" s="438" t="s">
        <v>586</v>
      </c>
      <c r="D105" s="438"/>
      <c r="E105" s="331"/>
      <c r="F105" s="114"/>
      <c r="G105" s="439"/>
      <c r="H105" s="439"/>
      <c r="I105" s="439"/>
      <c r="J105" s="439"/>
      <c r="K105" s="439"/>
      <c r="L105" s="439"/>
      <c r="M105" s="439"/>
      <c r="N105" s="439"/>
      <c r="O105" s="439"/>
      <c r="P105" s="439"/>
      <c r="Q105" s="439"/>
      <c r="R105" s="439"/>
      <c r="S105" s="439"/>
      <c r="T105" s="439"/>
      <c r="U105" s="115"/>
      <c r="V105" s="115"/>
      <c r="W105" s="55"/>
      <c r="X105" s="38"/>
    </row>
    <row r="106" spans="1:24" x14ac:dyDescent="0.2">
      <c r="A106" s="39"/>
      <c r="B106" s="39"/>
      <c r="C106" s="438" t="s">
        <v>587</v>
      </c>
      <c r="D106" s="438"/>
      <c r="E106" s="62"/>
      <c r="F106" s="114"/>
      <c r="G106" s="439"/>
      <c r="H106" s="439"/>
      <c r="I106" s="439"/>
      <c r="J106" s="439"/>
      <c r="K106" s="439"/>
      <c r="L106" s="439"/>
      <c r="M106" s="439"/>
      <c r="N106" s="439"/>
      <c r="O106" s="439"/>
      <c r="P106" s="439"/>
      <c r="Q106" s="439"/>
      <c r="R106" s="439"/>
      <c r="S106" s="439"/>
      <c r="T106" s="439"/>
      <c r="U106" s="115"/>
      <c r="V106" s="115"/>
      <c r="W106" s="55"/>
      <c r="X106" s="38"/>
    </row>
    <row r="107" spans="1:24" x14ac:dyDescent="0.2">
      <c r="A107" s="39"/>
      <c r="B107" s="39"/>
      <c r="C107" s="438" t="s">
        <v>588</v>
      </c>
      <c r="D107" s="438"/>
      <c r="E107" s="62"/>
      <c r="F107" s="114"/>
      <c r="G107" s="439"/>
      <c r="H107" s="439"/>
      <c r="I107" s="439"/>
      <c r="J107" s="439"/>
      <c r="K107" s="439"/>
      <c r="L107" s="439"/>
      <c r="M107" s="439"/>
      <c r="N107" s="439"/>
      <c r="O107" s="439"/>
      <c r="P107" s="439"/>
      <c r="Q107" s="439"/>
      <c r="R107" s="439"/>
      <c r="S107" s="439"/>
      <c r="T107" s="439"/>
      <c r="U107" s="115"/>
      <c r="V107" s="115"/>
      <c r="W107" s="55"/>
      <c r="X107" s="38"/>
    </row>
    <row r="108" spans="1:24" x14ac:dyDescent="0.2">
      <c r="A108" s="39"/>
      <c r="B108" s="39"/>
      <c r="C108" s="440" t="s">
        <v>589</v>
      </c>
      <c r="D108" s="330"/>
      <c r="E108" s="330"/>
      <c r="F108" s="330"/>
      <c r="G108" s="330"/>
      <c r="H108" s="330"/>
      <c r="I108" s="330"/>
      <c r="J108" s="330"/>
      <c r="K108" s="330"/>
      <c r="L108" s="330"/>
      <c r="M108" s="330"/>
      <c r="N108" s="330"/>
      <c r="O108" s="330"/>
      <c r="P108" s="330"/>
      <c r="Q108" s="330"/>
      <c r="R108" s="330"/>
      <c r="S108" s="330"/>
      <c r="T108" s="330"/>
      <c r="U108" s="115"/>
      <c r="V108" s="115"/>
      <c r="W108" s="55"/>
      <c r="X108" s="38"/>
    </row>
    <row r="109" spans="1:24" x14ac:dyDescent="0.2">
      <c r="A109" s="39"/>
      <c r="B109" s="39"/>
      <c r="C109" s="116"/>
      <c r="F109" s="16"/>
      <c r="G109" s="439"/>
      <c r="H109" s="439"/>
      <c r="I109" s="439"/>
      <c r="J109" s="439"/>
      <c r="K109" s="439"/>
      <c r="L109" s="439"/>
      <c r="M109" s="439"/>
      <c r="N109" s="439"/>
      <c r="O109" s="439"/>
      <c r="P109" s="439"/>
      <c r="Q109" s="439"/>
      <c r="R109" s="439"/>
      <c r="S109" s="439"/>
      <c r="T109" s="439"/>
      <c r="U109" s="115"/>
      <c r="V109" s="115"/>
      <c r="W109" s="56"/>
    </row>
    <row r="110" spans="1:24" s="39" customFormat="1" ht="13.5" x14ac:dyDescent="0.2">
      <c r="C110" s="441"/>
      <c r="G110" s="439"/>
      <c r="H110" s="439"/>
      <c r="I110" s="439"/>
      <c r="J110" s="439"/>
      <c r="K110" s="439"/>
      <c r="L110" s="439"/>
      <c r="M110" s="439"/>
      <c r="N110" s="439"/>
      <c r="O110" s="439"/>
      <c r="P110" s="439"/>
      <c r="Q110" s="439"/>
      <c r="R110" s="439"/>
      <c r="S110" s="439"/>
      <c r="T110" s="439"/>
      <c r="U110" s="115"/>
      <c r="V110" s="115"/>
      <c r="W110" s="115"/>
    </row>
    <row r="111" spans="1:24" s="39" customFormat="1" x14ac:dyDescent="0.2">
      <c r="G111" s="439"/>
      <c r="H111" s="439"/>
      <c r="I111" s="439"/>
      <c r="J111" s="439"/>
      <c r="K111" s="439"/>
      <c r="L111" s="439"/>
      <c r="M111" s="439"/>
      <c r="N111" s="439"/>
      <c r="O111" s="439"/>
      <c r="P111" s="439"/>
      <c r="Q111" s="439"/>
      <c r="R111" s="439"/>
      <c r="S111" s="439"/>
      <c r="T111" s="439"/>
      <c r="U111" s="115"/>
      <c r="V111" s="115"/>
      <c r="W111" s="115"/>
    </row>
    <row r="112" spans="1:24" s="39" customFormat="1" x14ac:dyDescent="0.2">
      <c r="G112" s="439"/>
      <c r="H112" s="439"/>
      <c r="I112" s="439"/>
      <c r="J112" s="439"/>
      <c r="K112" s="439"/>
      <c r="L112" s="439"/>
      <c r="M112" s="439"/>
      <c r="N112" s="439"/>
      <c r="O112" s="439"/>
      <c r="P112" s="439"/>
      <c r="Q112" s="439"/>
      <c r="R112" s="439"/>
      <c r="S112" s="439"/>
      <c r="T112" s="439"/>
      <c r="U112" s="115"/>
      <c r="V112" s="115"/>
      <c r="W112" s="115"/>
    </row>
    <row r="113" spans="7:25" s="39" customFormat="1" x14ac:dyDescent="0.2">
      <c r="G113" s="685"/>
      <c r="H113" s="439"/>
      <c r="I113" s="686"/>
      <c r="J113" s="439"/>
      <c r="K113" s="439"/>
      <c r="L113" s="439"/>
      <c r="M113" s="439"/>
      <c r="N113" s="439"/>
      <c r="O113" s="439"/>
      <c r="P113" s="439"/>
      <c r="Q113" s="439"/>
      <c r="R113" s="439"/>
      <c r="S113" s="439"/>
      <c r="T113" s="439"/>
      <c r="U113" s="115"/>
      <c r="V113" s="115"/>
      <c r="W113" s="115"/>
      <c r="X113" s="377"/>
    </row>
    <row r="114" spans="7:25" s="39" customFormat="1" x14ac:dyDescent="0.2">
      <c r="G114" s="439"/>
      <c r="H114" s="439"/>
      <c r="I114" s="439"/>
      <c r="J114" s="439"/>
      <c r="K114" s="439"/>
      <c r="L114" s="439"/>
      <c r="M114" s="439"/>
      <c r="N114" s="439"/>
      <c r="O114" s="439"/>
      <c r="P114" s="439"/>
      <c r="Q114" s="439"/>
      <c r="R114" s="439"/>
      <c r="S114" s="439"/>
      <c r="T114" s="439"/>
      <c r="U114" s="115"/>
      <c r="V114" s="115"/>
      <c r="W114" s="115"/>
    </row>
    <row r="115" spans="7:25" s="39" customFormat="1" x14ac:dyDescent="0.2">
      <c r="G115" s="439"/>
      <c r="H115" s="439"/>
      <c r="I115" s="439"/>
      <c r="J115" s="439"/>
      <c r="K115" s="439"/>
      <c r="L115" s="439"/>
      <c r="M115" s="439"/>
      <c r="N115" s="439"/>
      <c r="O115" s="439"/>
      <c r="P115" s="439"/>
      <c r="Q115" s="439"/>
      <c r="R115" s="439"/>
      <c r="S115" s="439"/>
      <c r="T115" s="439"/>
      <c r="U115" s="115"/>
      <c r="V115" s="115"/>
      <c r="W115" s="115"/>
    </row>
    <row r="116" spans="7:25" s="39" customFormat="1" x14ac:dyDescent="0.2">
      <c r="G116" s="439"/>
      <c r="H116" s="439"/>
      <c r="I116" s="439"/>
      <c r="J116" s="620"/>
      <c r="K116" s="439"/>
      <c r="L116" s="439"/>
      <c r="M116" s="439"/>
      <c r="N116" s="439"/>
      <c r="O116" s="439"/>
      <c r="P116" s="439"/>
      <c r="Q116" s="439"/>
      <c r="R116" s="439"/>
      <c r="S116" s="439"/>
      <c r="T116" s="620"/>
      <c r="U116" s="115"/>
      <c r="V116" s="115"/>
      <c r="W116" s="115"/>
    </row>
    <row r="117" spans="7:25" s="39" customFormat="1" x14ac:dyDescent="0.2">
      <c r="G117" s="439"/>
      <c r="H117" s="439"/>
      <c r="I117" s="439"/>
      <c r="J117" s="439"/>
      <c r="K117" s="439"/>
      <c r="L117" s="439"/>
      <c r="M117" s="439"/>
      <c r="N117" s="439"/>
      <c r="O117" s="439"/>
      <c r="P117" s="439"/>
      <c r="Q117" s="439"/>
      <c r="R117" s="439"/>
      <c r="S117" s="439"/>
      <c r="T117" s="439"/>
      <c r="U117" s="115"/>
      <c r="V117" s="115"/>
      <c r="W117" s="115"/>
    </row>
    <row r="118" spans="7:25" s="39" customFormat="1" x14ac:dyDescent="0.2">
      <c r="G118" s="439"/>
      <c r="H118" s="439"/>
      <c r="I118" s="439"/>
      <c r="J118" s="439"/>
      <c r="K118" s="439"/>
      <c r="L118" s="442"/>
      <c r="M118" s="439"/>
      <c r="N118" s="439"/>
      <c r="O118" s="439"/>
      <c r="P118" s="443"/>
      <c r="Q118" s="439"/>
      <c r="R118" s="439"/>
      <c r="S118" s="439"/>
      <c r="T118" s="439"/>
      <c r="U118" s="115"/>
      <c r="V118" s="115"/>
      <c r="W118" s="115"/>
    </row>
    <row r="119" spans="7:25" s="39" customFormat="1" x14ac:dyDescent="0.2">
      <c r="G119" s="443"/>
      <c r="H119" s="439"/>
      <c r="I119" s="439"/>
      <c r="J119" s="439"/>
      <c r="K119" s="439"/>
      <c r="L119" s="439"/>
      <c r="M119" s="439"/>
      <c r="N119" s="439"/>
      <c r="O119" s="439"/>
      <c r="P119" s="439"/>
      <c r="Q119" s="439"/>
      <c r="R119" s="443"/>
      <c r="S119" s="439"/>
      <c r="T119" s="439"/>
      <c r="U119" s="115"/>
      <c r="V119" s="115"/>
      <c r="W119" s="115"/>
    </row>
    <row r="120" spans="7:25" s="39" customFormat="1" x14ac:dyDescent="0.2">
      <c r="G120" s="443"/>
      <c r="H120" s="439"/>
      <c r="I120" s="439"/>
      <c r="J120" s="439"/>
      <c r="K120" s="439"/>
      <c r="L120" s="439"/>
      <c r="M120" s="439"/>
      <c r="N120" s="439"/>
      <c r="O120" s="443"/>
      <c r="P120" s="439"/>
      <c r="Q120" s="439"/>
      <c r="R120" s="439"/>
      <c r="S120" s="439"/>
      <c r="T120" s="439"/>
      <c r="U120" s="115"/>
      <c r="V120" s="115"/>
      <c r="W120" s="115"/>
      <c r="Y120" s="384"/>
    </row>
    <row r="121" spans="7:25" s="39" customFormat="1" x14ac:dyDescent="0.2">
      <c r="G121" s="439"/>
      <c r="H121" s="439"/>
      <c r="I121" s="439"/>
      <c r="J121" s="439"/>
      <c r="K121" s="439"/>
      <c r="L121" s="439"/>
      <c r="M121" s="439"/>
      <c r="N121" s="439"/>
      <c r="O121" s="439"/>
      <c r="P121" s="439"/>
      <c r="Q121" s="439"/>
      <c r="R121" s="439"/>
      <c r="S121" s="439"/>
      <c r="T121" s="439"/>
      <c r="U121" s="115"/>
      <c r="V121" s="115"/>
      <c r="W121" s="115"/>
    </row>
    <row r="122" spans="7:25" s="39" customFormat="1" x14ac:dyDescent="0.2">
      <c r="G122" s="439"/>
      <c r="H122" s="439"/>
      <c r="I122" s="439"/>
      <c r="J122" s="439"/>
      <c r="K122" s="439"/>
      <c r="L122" s="439"/>
      <c r="M122" s="439"/>
      <c r="N122" s="439"/>
      <c r="O122" s="439"/>
      <c r="P122" s="439"/>
      <c r="Q122" s="439"/>
      <c r="R122" s="439"/>
      <c r="S122" s="439"/>
      <c r="T122" s="439"/>
      <c r="U122" s="115"/>
      <c r="V122" s="115"/>
      <c r="W122" s="115"/>
    </row>
    <row r="123" spans="7:25" s="39" customFormat="1" x14ac:dyDescent="0.2">
      <c r="G123" s="439"/>
      <c r="H123" s="439"/>
      <c r="I123" s="439"/>
      <c r="J123" s="439"/>
      <c r="K123" s="439"/>
      <c r="L123" s="439"/>
      <c r="M123" s="439"/>
      <c r="N123" s="439"/>
      <c r="O123" s="439"/>
      <c r="P123" s="439"/>
      <c r="Q123" s="439"/>
      <c r="R123" s="439"/>
      <c r="S123" s="439"/>
      <c r="T123" s="439"/>
      <c r="U123" s="115"/>
      <c r="V123" s="115"/>
      <c r="W123" s="115"/>
    </row>
    <row r="124" spans="7:25" s="39" customFormat="1" x14ac:dyDescent="0.2">
      <c r="G124" s="439"/>
      <c r="H124" s="439"/>
      <c r="I124" s="439"/>
      <c r="J124" s="439"/>
      <c r="K124" s="439"/>
      <c r="L124" s="439"/>
      <c r="M124" s="439"/>
      <c r="N124" s="439"/>
      <c r="O124" s="439"/>
      <c r="P124" s="439"/>
      <c r="Q124" s="439"/>
      <c r="R124" s="439"/>
      <c r="S124" s="439"/>
      <c r="T124" s="439"/>
      <c r="U124" s="115"/>
      <c r="V124" s="115"/>
      <c r="W124" s="115"/>
    </row>
    <row r="125" spans="7:25" s="39" customFormat="1" x14ac:dyDescent="0.2">
      <c r="G125" s="439"/>
      <c r="H125" s="439"/>
      <c r="I125" s="439"/>
      <c r="J125" s="439"/>
      <c r="K125" s="439"/>
      <c r="L125" s="439"/>
      <c r="M125" s="439"/>
      <c r="N125" s="439"/>
      <c r="O125" s="439"/>
      <c r="P125" s="439"/>
      <c r="Q125" s="439"/>
      <c r="R125" s="439"/>
      <c r="S125" s="439"/>
      <c r="T125" s="439"/>
      <c r="U125" s="115"/>
      <c r="V125" s="115"/>
      <c r="W125" s="115"/>
    </row>
    <row r="126" spans="7:25" s="39" customFormat="1" x14ac:dyDescent="0.2">
      <c r="G126" s="439"/>
      <c r="H126" s="439"/>
      <c r="I126" s="439"/>
      <c r="J126" s="439"/>
      <c r="K126" s="439"/>
      <c r="L126" s="439"/>
      <c r="M126" s="439"/>
      <c r="N126" s="439"/>
      <c r="O126" s="439"/>
      <c r="P126" s="439"/>
      <c r="Q126" s="439"/>
      <c r="R126" s="439"/>
      <c r="S126" s="439"/>
      <c r="T126" s="439"/>
      <c r="U126" s="115"/>
      <c r="V126" s="115"/>
      <c r="W126" s="115"/>
    </row>
    <row r="127" spans="7:25" s="39" customFormat="1" x14ac:dyDescent="0.2">
      <c r="G127" s="439"/>
      <c r="H127" s="439"/>
      <c r="I127" s="439"/>
      <c r="J127" s="439"/>
      <c r="K127" s="439"/>
      <c r="L127" s="439"/>
      <c r="M127" s="439"/>
      <c r="N127" s="439"/>
      <c r="O127" s="439"/>
      <c r="P127" s="439"/>
      <c r="Q127" s="439"/>
      <c r="R127" s="439"/>
      <c r="S127" s="439"/>
      <c r="T127" s="439"/>
      <c r="U127" s="115"/>
      <c r="V127" s="115"/>
      <c r="W127" s="115"/>
    </row>
    <row r="128" spans="7:25" s="39" customFormat="1" x14ac:dyDescent="0.2">
      <c r="G128" s="439"/>
      <c r="H128" s="439"/>
      <c r="I128" s="439"/>
      <c r="J128" s="439"/>
      <c r="K128" s="439"/>
      <c r="L128" s="439"/>
      <c r="M128" s="439"/>
      <c r="N128" s="439"/>
      <c r="O128" s="439"/>
      <c r="P128" s="439"/>
      <c r="Q128" s="439"/>
      <c r="R128" s="439"/>
      <c r="S128" s="439"/>
      <c r="T128" s="439"/>
      <c r="U128" s="115"/>
      <c r="V128" s="115"/>
      <c r="W128" s="115"/>
    </row>
    <row r="129" spans="2:23" s="39" customFormat="1" x14ac:dyDescent="0.2">
      <c r="G129" s="439"/>
      <c r="H129" s="439"/>
      <c r="I129" s="439"/>
      <c r="J129" s="439"/>
      <c r="K129" s="439"/>
      <c r="L129" s="439"/>
      <c r="M129" s="439"/>
      <c r="N129" s="439"/>
      <c r="O129" s="439"/>
      <c r="P129" s="439"/>
      <c r="Q129" s="439"/>
      <c r="R129" s="439"/>
      <c r="S129" s="439"/>
      <c r="T129" s="439"/>
      <c r="U129" s="115"/>
      <c r="V129" s="115"/>
      <c r="W129" s="115"/>
    </row>
    <row r="130" spans="2:23" s="39" customFormat="1" x14ac:dyDescent="0.2">
      <c r="G130" s="439"/>
      <c r="H130" s="439"/>
      <c r="I130" s="439"/>
      <c r="J130" s="439"/>
      <c r="K130" s="439"/>
      <c r="L130" s="439"/>
      <c r="M130" s="439"/>
      <c r="N130" s="439"/>
      <c r="O130" s="439"/>
      <c r="P130" s="439"/>
      <c r="Q130" s="439"/>
      <c r="R130" s="439"/>
      <c r="S130" s="439"/>
      <c r="T130" s="439"/>
      <c r="U130" s="115"/>
      <c r="V130" s="115"/>
      <c r="W130" s="115"/>
    </row>
    <row r="131" spans="2:23" s="39" customFormat="1" x14ac:dyDescent="0.2">
      <c r="G131" s="439"/>
      <c r="H131" s="439"/>
      <c r="I131" s="439"/>
      <c r="J131" s="439"/>
      <c r="K131" s="439"/>
      <c r="L131" s="439"/>
      <c r="M131" s="439"/>
      <c r="N131" s="439"/>
      <c r="O131" s="439"/>
      <c r="P131" s="439"/>
      <c r="Q131" s="439"/>
      <c r="R131" s="439"/>
      <c r="S131" s="439"/>
      <c r="T131" s="439"/>
      <c r="U131" s="115"/>
      <c r="V131" s="115"/>
      <c r="W131" s="115"/>
    </row>
    <row r="132" spans="2:23" s="39" customFormat="1" x14ac:dyDescent="0.2">
      <c r="G132" s="439"/>
      <c r="H132" s="439"/>
      <c r="I132" s="439"/>
      <c r="J132" s="439"/>
      <c r="K132" s="439"/>
      <c r="L132" s="439"/>
      <c r="M132" s="439"/>
      <c r="N132" s="439"/>
      <c r="O132" s="439"/>
      <c r="P132" s="439"/>
      <c r="Q132" s="439"/>
      <c r="R132" s="439"/>
      <c r="S132" s="439"/>
      <c r="T132" s="439"/>
      <c r="U132" s="115"/>
      <c r="V132" s="115"/>
      <c r="W132" s="115"/>
    </row>
    <row r="133" spans="2:23" s="39" customFormat="1" x14ac:dyDescent="0.2">
      <c r="G133" s="439"/>
      <c r="H133" s="439"/>
      <c r="I133" s="439"/>
      <c r="J133" s="439"/>
      <c r="K133" s="439"/>
      <c r="L133" s="439"/>
      <c r="M133" s="439"/>
      <c r="N133" s="439"/>
      <c r="O133" s="439"/>
      <c r="P133" s="439"/>
      <c r="Q133" s="439"/>
      <c r="R133" s="439"/>
      <c r="S133" s="439"/>
      <c r="T133" s="439"/>
      <c r="U133" s="115"/>
      <c r="V133" s="115"/>
      <c r="W133" s="115"/>
    </row>
    <row r="134" spans="2:23" s="39" customFormat="1" x14ac:dyDescent="0.2">
      <c r="B134" s="62"/>
      <c r="G134" s="439"/>
      <c r="H134" s="439"/>
      <c r="I134" s="439"/>
      <c r="J134" s="439"/>
      <c r="K134" s="439"/>
      <c r="L134" s="439"/>
      <c r="M134" s="439"/>
      <c r="N134" s="439"/>
      <c r="O134" s="439"/>
      <c r="P134" s="439"/>
      <c r="Q134" s="439"/>
      <c r="R134" s="439"/>
      <c r="S134" s="439"/>
      <c r="T134" s="439"/>
      <c r="U134" s="115"/>
      <c r="V134" s="115"/>
      <c r="W134" s="115"/>
    </row>
    <row r="135" spans="2:23" s="39" customFormat="1" x14ac:dyDescent="0.2">
      <c r="G135" s="439"/>
      <c r="H135" s="439"/>
      <c r="I135" s="439"/>
      <c r="J135" s="439"/>
      <c r="K135" s="439"/>
      <c r="L135" s="439"/>
      <c r="M135" s="439"/>
      <c r="N135" s="439"/>
      <c r="O135" s="439"/>
      <c r="P135" s="439"/>
      <c r="Q135" s="439"/>
      <c r="R135" s="439"/>
      <c r="S135" s="439"/>
      <c r="T135" s="439"/>
      <c r="U135" s="115"/>
      <c r="V135" s="115"/>
      <c r="W135" s="115"/>
    </row>
    <row r="136" spans="2:23" s="39" customFormat="1" x14ac:dyDescent="0.2">
      <c r="G136" s="439"/>
      <c r="H136" s="439"/>
      <c r="I136" s="439"/>
      <c r="J136" s="439"/>
      <c r="K136" s="439"/>
      <c r="L136" s="439"/>
      <c r="M136" s="439"/>
      <c r="N136" s="439"/>
      <c r="O136" s="439"/>
      <c r="P136" s="439"/>
      <c r="Q136" s="439"/>
      <c r="R136" s="439"/>
      <c r="S136" s="439"/>
      <c r="T136" s="439"/>
      <c r="U136" s="115"/>
      <c r="V136" s="115"/>
      <c r="W136" s="115"/>
    </row>
    <row r="137" spans="2:23" s="39" customFormat="1" x14ac:dyDescent="0.2">
      <c r="G137" s="439"/>
      <c r="H137" s="439"/>
      <c r="I137" s="439"/>
      <c r="J137" s="439"/>
      <c r="K137" s="439"/>
      <c r="L137" s="439"/>
      <c r="M137" s="439"/>
      <c r="N137" s="439"/>
      <c r="O137" s="439"/>
      <c r="P137" s="439"/>
      <c r="Q137" s="439"/>
      <c r="R137" s="439"/>
      <c r="S137" s="439"/>
      <c r="T137" s="439"/>
      <c r="U137" s="115"/>
      <c r="V137" s="115"/>
      <c r="W137" s="115"/>
    </row>
    <row r="138" spans="2:23" s="39" customFormat="1" x14ac:dyDescent="0.2">
      <c r="G138" s="439"/>
      <c r="H138" s="439"/>
      <c r="I138" s="439"/>
      <c r="J138" s="439"/>
      <c r="K138" s="439"/>
      <c r="L138" s="439"/>
      <c r="M138" s="439"/>
      <c r="N138" s="439"/>
      <c r="O138" s="439"/>
      <c r="P138" s="439"/>
      <c r="Q138" s="439"/>
      <c r="R138" s="439"/>
      <c r="S138" s="439"/>
      <c r="T138" s="439"/>
      <c r="U138" s="115"/>
      <c r="V138" s="115"/>
      <c r="W138" s="115"/>
    </row>
    <row r="139" spans="2:23" s="39" customFormat="1" x14ac:dyDescent="0.2">
      <c r="G139" s="439"/>
      <c r="H139" s="439"/>
      <c r="I139" s="439"/>
      <c r="J139" s="439"/>
      <c r="K139" s="439"/>
      <c r="L139" s="439"/>
      <c r="M139" s="439"/>
      <c r="N139" s="439"/>
      <c r="O139" s="439"/>
      <c r="P139" s="439"/>
      <c r="Q139" s="439"/>
      <c r="R139" s="439"/>
      <c r="S139" s="439"/>
      <c r="T139" s="439"/>
      <c r="U139" s="115"/>
      <c r="V139" s="115"/>
      <c r="W139" s="115"/>
    </row>
    <row r="140" spans="2:23" s="39" customFormat="1" x14ac:dyDescent="0.2">
      <c r="G140" s="439"/>
      <c r="H140" s="439"/>
      <c r="I140" s="439"/>
      <c r="J140" s="439"/>
      <c r="K140" s="439"/>
      <c r="L140" s="439"/>
      <c r="M140" s="439"/>
      <c r="N140" s="439"/>
      <c r="O140" s="439"/>
      <c r="P140" s="439"/>
      <c r="Q140" s="439"/>
      <c r="R140" s="439"/>
      <c r="S140" s="439"/>
      <c r="T140" s="439"/>
      <c r="U140" s="115"/>
      <c r="V140" s="115"/>
      <c r="W140" s="115"/>
    </row>
    <row r="141" spans="2:23" s="39" customFormat="1" x14ac:dyDescent="0.2">
      <c r="G141" s="439"/>
      <c r="H141" s="439"/>
      <c r="I141" s="439"/>
      <c r="J141" s="439"/>
      <c r="K141" s="439"/>
      <c r="L141" s="439"/>
      <c r="M141" s="439"/>
      <c r="N141" s="439"/>
      <c r="O141" s="439"/>
      <c r="P141" s="439"/>
      <c r="Q141" s="439"/>
      <c r="R141" s="439"/>
      <c r="S141" s="439"/>
      <c r="T141" s="439"/>
      <c r="U141" s="115"/>
      <c r="V141" s="115"/>
      <c r="W141" s="115"/>
    </row>
    <row r="142" spans="2:23" s="39" customFormat="1" x14ac:dyDescent="0.2">
      <c r="G142" s="439"/>
      <c r="H142" s="439"/>
      <c r="I142" s="439"/>
      <c r="J142" s="439"/>
      <c r="K142" s="439"/>
      <c r="L142" s="439"/>
      <c r="M142" s="439"/>
      <c r="N142" s="439"/>
      <c r="O142" s="439"/>
      <c r="P142" s="439"/>
      <c r="Q142" s="439"/>
      <c r="R142" s="439"/>
      <c r="S142" s="439"/>
      <c r="T142" s="439"/>
      <c r="U142" s="115"/>
      <c r="V142" s="115"/>
      <c r="W142" s="115"/>
    </row>
    <row r="143" spans="2:23" s="39" customFormat="1" x14ac:dyDescent="0.2">
      <c r="G143" s="439"/>
      <c r="H143" s="439"/>
      <c r="I143" s="439"/>
      <c r="J143" s="439"/>
      <c r="K143" s="439"/>
      <c r="L143" s="439"/>
      <c r="M143" s="439"/>
      <c r="N143" s="439"/>
      <c r="O143" s="439"/>
      <c r="P143" s="439"/>
      <c r="Q143" s="439"/>
      <c r="R143" s="439"/>
      <c r="S143" s="439"/>
      <c r="T143" s="439"/>
      <c r="U143" s="115"/>
      <c r="V143" s="115"/>
      <c r="W143" s="115"/>
    </row>
    <row r="144" spans="2:23" s="39" customFormat="1" x14ac:dyDescent="0.2">
      <c r="G144" s="439"/>
      <c r="H144" s="439"/>
      <c r="I144" s="439"/>
      <c r="J144" s="439"/>
      <c r="K144" s="439"/>
      <c r="L144" s="439"/>
      <c r="M144" s="439"/>
      <c r="N144" s="439"/>
      <c r="O144" s="439"/>
      <c r="P144" s="439"/>
      <c r="Q144" s="439"/>
      <c r="R144" s="439"/>
      <c r="S144" s="439"/>
      <c r="T144" s="439"/>
      <c r="U144" s="115"/>
      <c r="V144" s="115"/>
      <c r="W144" s="115"/>
    </row>
    <row r="145" spans="7:23" s="39" customFormat="1" x14ac:dyDescent="0.2">
      <c r="G145" s="439"/>
      <c r="H145" s="439"/>
      <c r="I145" s="439"/>
      <c r="J145" s="439"/>
      <c r="K145" s="439"/>
      <c r="L145" s="439"/>
      <c r="M145" s="439"/>
      <c r="N145" s="439"/>
      <c r="O145" s="439"/>
      <c r="P145" s="439"/>
      <c r="Q145" s="439"/>
      <c r="R145" s="439"/>
      <c r="S145" s="439"/>
      <c r="T145" s="439"/>
      <c r="U145" s="115"/>
      <c r="V145" s="115"/>
      <c r="W145" s="115"/>
    </row>
    <row r="146" spans="7:23" s="39" customFormat="1" x14ac:dyDescent="0.2">
      <c r="G146" s="439"/>
      <c r="H146" s="439"/>
      <c r="I146" s="439"/>
      <c r="J146" s="439"/>
      <c r="K146" s="439"/>
      <c r="L146" s="439"/>
      <c r="M146" s="439"/>
      <c r="N146" s="439"/>
      <c r="O146" s="439"/>
      <c r="P146" s="439"/>
      <c r="Q146" s="439"/>
      <c r="R146" s="439"/>
      <c r="S146" s="439"/>
      <c r="T146" s="439"/>
      <c r="U146" s="115"/>
      <c r="V146" s="115"/>
      <c r="W146" s="115"/>
    </row>
    <row r="147" spans="7:23" s="39" customFormat="1" x14ac:dyDescent="0.2">
      <c r="G147" s="439"/>
      <c r="H147" s="439"/>
      <c r="I147" s="439"/>
      <c r="J147" s="439"/>
      <c r="K147" s="439"/>
      <c r="L147" s="439"/>
      <c r="M147" s="439"/>
      <c r="N147" s="439"/>
      <c r="O147" s="439"/>
      <c r="P147" s="439"/>
      <c r="Q147" s="439"/>
      <c r="R147" s="439"/>
      <c r="S147" s="439"/>
      <c r="T147" s="439"/>
      <c r="U147" s="115"/>
      <c r="V147" s="115"/>
      <c r="W147" s="115"/>
    </row>
    <row r="148" spans="7:23" s="39" customFormat="1" x14ac:dyDescent="0.2">
      <c r="G148" s="439"/>
      <c r="H148" s="439"/>
      <c r="I148" s="439"/>
      <c r="J148" s="439"/>
      <c r="K148" s="439"/>
      <c r="L148" s="439"/>
      <c r="M148" s="439"/>
      <c r="N148" s="439"/>
      <c r="O148" s="439"/>
      <c r="P148" s="439"/>
      <c r="Q148" s="439"/>
      <c r="R148" s="439"/>
      <c r="S148" s="439"/>
      <c r="T148" s="439"/>
      <c r="U148" s="115"/>
      <c r="V148" s="115"/>
      <c r="W148" s="115"/>
    </row>
    <row r="149" spans="7:23" s="39" customFormat="1" x14ac:dyDescent="0.2">
      <c r="G149" s="439"/>
      <c r="H149" s="439"/>
      <c r="I149" s="439"/>
      <c r="J149" s="439"/>
      <c r="K149" s="439"/>
      <c r="L149" s="439"/>
      <c r="M149" s="439"/>
      <c r="N149" s="439"/>
      <c r="O149" s="439"/>
      <c r="P149" s="439"/>
      <c r="Q149" s="439"/>
      <c r="R149" s="439"/>
      <c r="S149" s="439"/>
      <c r="T149" s="439"/>
      <c r="U149" s="115"/>
      <c r="V149" s="115"/>
      <c r="W149" s="115"/>
    </row>
    <row r="150" spans="7:23" s="39" customFormat="1" x14ac:dyDescent="0.2">
      <c r="G150" s="439"/>
      <c r="H150" s="439"/>
      <c r="I150" s="439"/>
      <c r="J150" s="439"/>
      <c r="K150" s="439"/>
      <c r="L150" s="439"/>
      <c r="M150" s="439"/>
      <c r="N150" s="439"/>
      <c r="O150" s="439"/>
      <c r="P150" s="439"/>
      <c r="Q150" s="439"/>
      <c r="R150" s="439"/>
      <c r="S150" s="439"/>
      <c r="T150" s="439"/>
      <c r="U150" s="115"/>
      <c r="V150" s="115"/>
      <c r="W150" s="115"/>
    </row>
    <row r="151" spans="7:23" s="39" customFormat="1" x14ac:dyDescent="0.2">
      <c r="G151" s="439"/>
      <c r="H151" s="439"/>
      <c r="I151" s="439"/>
      <c r="J151" s="439"/>
      <c r="K151" s="439"/>
      <c r="L151" s="439"/>
      <c r="M151" s="439"/>
      <c r="N151" s="439"/>
      <c r="O151" s="439"/>
      <c r="P151" s="439"/>
      <c r="Q151" s="439"/>
      <c r="R151" s="439"/>
      <c r="S151" s="439"/>
      <c r="T151" s="439"/>
      <c r="U151" s="115"/>
      <c r="V151" s="115"/>
      <c r="W151" s="115"/>
    </row>
    <row r="152" spans="7:23" s="39" customFormat="1" x14ac:dyDescent="0.2">
      <c r="G152" s="439"/>
      <c r="H152" s="439"/>
      <c r="I152" s="439"/>
      <c r="J152" s="439"/>
      <c r="K152" s="439"/>
      <c r="L152" s="439"/>
      <c r="M152" s="439"/>
      <c r="N152" s="439"/>
      <c r="O152" s="439"/>
      <c r="P152" s="439"/>
      <c r="Q152" s="439"/>
      <c r="R152" s="439"/>
      <c r="S152" s="439"/>
      <c r="T152" s="439"/>
      <c r="U152" s="115"/>
      <c r="V152" s="115"/>
      <c r="W152" s="115"/>
    </row>
    <row r="153" spans="7:23" s="39" customFormat="1" x14ac:dyDescent="0.2">
      <c r="G153" s="439"/>
      <c r="H153" s="439"/>
      <c r="I153" s="439"/>
      <c r="J153" s="439"/>
      <c r="K153" s="439"/>
      <c r="L153" s="439"/>
      <c r="M153" s="439"/>
      <c r="N153" s="439"/>
      <c r="O153" s="439"/>
      <c r="P153" s="439"/>
      <c r="Q153" s="439"/>
      <c r="R153" s="439"/>
      <c r="S153" s="439"/>
      <c r="T153" s="439"/>
      <c r="U153" s="115"/>
      <c r="V153" s="115"/>
      <c r="W153" s="115"/>
    </row>
    <row r="154" spans="7:23" s="39" customFormat="1" x14ac:dyDescent="0.2">
      <c r="G154" s="439"/>
      <c r="H154" s="439"/>
      <c r="I154" s="439"/>
      <c r="J154" s="439"/>
      <c r="K154" s="439"/>
      <c r="L154" s="439"/>
      <c r="M154" s="439"/>
      <c r="N154" s="439"/>
      <c r="O154" s="439"/>
      <c r="P154" s="439"/>
      <c r="Q154" s="439"/>
      <c r="R154" s="439"/>
      <c r="S154" s="439"/>
      <c r="T154" s="439"/>
      <c r="U154" s="115"/>
      <c r="V154" s="115"/>
      <c r="W154" s="115"/>
    </row>
    <row r="155" spans="7:23" s="39" customFormat="1" x14ac:dyDescent="0.2">
      <c r="G155" s="439"/>
      <c r="H155" s="439"/>
      <c r="I155" s="439"/>
      <c r="J155" s="439"/>
      <c r="K155" s="439"/>
      <c r="L155" s="439"/>
      <c r="M155" s="439"/>
      <c r="N155" s="439"/>
      <c r="O155" s="439"/>
      <c r="P155" s="439"/>
      <c r="Q155" s="439"/>
      <c r="R155" s="439"/>
      <c r="S155" s="439"/>
      <c r="T155" s="439"/>
      <c r="U155" s="115"/>
      <c r="V155" s="115"/>
      <c r="W155" s="115"/>
    </row>
    <row r="156" spans="7:23" s="39" customFormat="1" x14ac:dyDescent="0.2">
      <c r="G156" s="439"/>
      <c r="H156" s="439"/>
      <c r="I156" s="439"/>
      <c r="J156" s="439"/>
      <c r="K156" s="439"/>
      <c r="L156" s="439"/>
      <c r="M156" s="439"/>
      <c r="N156" s="439"/>
      <c r="O156" s="439"/>
      <c r="P156" s="439"/>
      <c r="Q156" s="439"/>
      <c r="R156" s="439"/>
      <c r="S156" s="439"/>
      <c r="T156" s="439"/>
      <c r="U156" s="115"/>
      <c r="V156" s="115"/>
      <c r="W156" s="115"/>
    </row>
    <row r="157" spans="7:23" s="39" customFormat="1" x14ac:dyDescent="0.2">
      <c r="G157" s="439"/>
      <c r="H157" s="439"/>
      <c r="I157" s="439"/>
      <c r="J157" s="439"/>
      <c r="K157" s="439"/>
      <c r="L157" s="439"/>
      <c r="M157" s="439"/>
      <c r="N157" s="439"/>
      <c r="O157" s="439"/>
      <c r="P157" s="439"/>
      <c r="Q157" s="439"/>
      <c r="R157" s="439"/>
      <c r="S157" s="439"/>
      <c r="T157" s="439"/>
      <c r="U157" s="115"/>
      <c r="V157" s="115"/>
      <c r="W157" s="115"/>
    </row>
    <row r="158" spans="7:23" s="39" customFormat="1" x14ac:dyDescent="0.2">
      <c r="G158" s="439"/>
      <c r="H158" s="439"/>
      <c r="I158" s="439"/>
      <c r="J158" s="439"/>
      <c r="K158" s="439"/>
      <c r="L158" s="439"/>
      <c r="M158" s="439"/>
      <c r="N158" s="439"/>
      <c r="O158" s="439"/>
      <c r="P158" s="439"/>
      <c r="Q158" s="439"/>
      <c r="R158" s="439"/>
      <c r="S158" s="439"/>
      <c r="T158" s="439"/>
      <c r="U158" s="115"/>
      <c r="V158" s="115"/>
      <c r="W158" s="115"/>
    </row>
    <row r="159" spans="7:23" s="39" customFormat="1" x14ac:dyDescent="0.2">
      <c r="G159" s="439"/>
      <c r="H159" s="439"/>
      <c r="I159" s="439"/>
      <c r="J159" s="439"/>
      <c r="K159" s="439"/>
      <c r="L159" s="439"/>
      <c r="M159" s="439"/>
      <c r="N159" s="439"/>
      <c r="O159" s="439"/>
      <c r="P159" s="439"/>
      <c r="Q159" s="439"/>
      <c r="R159" s="439"/>
      <c r="S159" s="439"/>
      <c r="T159" s="439"/>
      <c r="U159" s="115"/>
      <c r="V159" s="115"/>
      <c r="W159" s="115"/>
    </row>
    <row r="160" spans="7:23" s="39" customFormat="1" x14ac:dyDescent="0.2">
      <c r="G160" s="439"/>
      <c r="H160" s="439"/>
      <c r="I160" s="439"/>
      <c r="J160" s="439"/>
      <c r="K160" s="439"/>
      <c r="L160" s="439"/>
      <c r="M160" s="439"/>
      <c r="N160" s="439"/>
      <c r="O160" s="439"/>
      <c r="P160" s="439"/>
      <c r="Q160" s="439"/>
      <c r="R160" s="439"/>
      <c r="S160" s="439"/>
      <c r="T160" s="439"/>
      <c r="U160" s="115"/>
      <c r="V160" s="115"/>
      <c r="W160" s="115"/>
    </row>
    <row r="161" spans="7:23" s="39" customFormat="1" x14ac:dyDescent="0.2">
      <c r="G161" s="439"/>
      <c r="H161" s="439"/>
      <c r="I161" s="439"/>
      <c r="J161" s="439"/>
      <c r="K161" s="439"/>
      <c r="L161" s="439"/>
      <c r="M161" s="439"/>
      <c r="N161" s="439"/>
      <c r="O161" s="439"/>
      <c r="P161" s="439"/>
      <c r="Q161" s="439"/>
      <c r="R161" s="439"/>
      <c r="S161" s="439"/>
      <c r="T161" s="439"/>
      <c r="U161" s="115"/>
      <c r="V161" s="115"/>
      <c r="W161" s="115"/>
    </row>
    <row r="162" spans="7:23" s="39" customFormat="1" x14ac:dyDescent="0.2">
      <c r="G162" s="439"/>
      <c r="H162" s="439"/>
      <c r="I162" s="439"/>
      <c r="J162" s="439"/>
      <c r="K162" s="439"/>
      <c r="L162" s="439"/>
      <c r="M162" s="439"/>
      <c r="N162" s="439"/>
      <c r="O162" s="439"/>
      <c r="P162" s="439"/>
      <c r="Q162" s="439"/>
      <c r="R162" s="439"/>
      <c r="S162" s="439"/>
      <c r="T162" s="439"/>
      <c r="U162" s="115"/>
      <c r="V162" s="115"/>
      <c r="W162" s="115"/>
    </row>
    <row r="163" spans="7:23" s="39" customFormat="1" x14ac:dyDescent="0.2">
      <c r="G163" s="439"/>
      <c r="H163" s="439"/>
      <c r="I163" s="439"/>
      <c r="J163" s="439"/>
      <c r="K163" s="439"/>
      <c r="L163" s="439"/>
      <c r="M163" s="439"/>
      <c r="N163" s="439"/>
      <c r="O163" s="439"/>
      <c r="P163" s="439"/>
      <c r="Q163" s="439"/>
      <c r="R163" s="439"/>
      <c r="S163" s="439"/>
      <c r="T163" s="439"/>
      <c r="U163" s="115"/>
      <c r="V163" s="115"/>
      <c r="W163" s="115"/>
    </row>
    <row r="164" spans="7:23" s="39" customFormat="1" x14ac:dyDescent="0.2">
      <c r="G164" s="439"/>
      <c r="H164" s="439"/>
      <c r="I164" s="439"/>
      <c r="J164" s="439"/>
      <c r="K164" s="439"/>
      <c r="L164" s="439"/>
      <c r="M164" s="439"/>
      <c r="N164" s="439"/>
      <c r="O164" s="439"/>
      <c r="P164" s="439"/>
      <c r="Q164" s="439"/>
      <c r="R164" s="439"/>
      <c r="S164" s="439"/>
      <c r="T164" s="439"/>
      <c r="U164" s="115"/>
      <c r="V164" s="115"/>
      <c r="W164" s="115"/>
    </row>
    <row r="165" spans="7:23" s="39" customFormat="1" x14ac:dyDescent="0.2">
      <c r="G165" s="439"/>
      <c r="H165" s="439"/>
      <c r="I165" s="439"/>
      <c r="J165" s="439"/>
      <c r="K165" s="439"/>
      <c r="L165" s="439"/>
      <c r="M165" s="439"/>
      <c r="N165" s="439"/>
      <c r="O165" s="439"/>
      <c r="P165" s="439"/>
      <c r="Q165" s="439"/>
      <c r="R165" s="439"/>
      <c r="S165" s="439"/>
      <c r="T165" s="439"/>
      <c r="U165" s="115"/>
      <c r="V165" s="115"/>
      <c r="W165" s="115"/>
    </row>
    <row r="166" spans="7:23" s="39" customFormat="1" x14ac:dyDescent="0.2">
      <c r="G166" s="439"/>
      <c r="H166" s="439"/>
      <c r="I166" s="439"/>
      <c r="J166" s="439"/>
      <c r="K166" s="439"/>
      <c r="L166" s="439"/>
      <c r="M166" s="439"/>
      <c r="N166" s="439"/>
      <c r="O166" s="439"/>
      <c r="P166" s="439"/>
      <c r="Q166" s="439"/>
      <c r="R166" s="439"/>
      <c r="S166" s="439"/>
      <c r="T166" s="439"/>
      <c r="U166" s="115"/>
      <c r="V166" s="115"/>
      <c r="W166" s="115"/>
    </row>
    <row r="167" spans="7:23" s="39" customFormat="1" x14ac:dyDescent="0.2">
      <c r="G167" s="439"/>
      <c r="H167" s="439"/>
      <c r="I167" s="439"/>
      <c r="J167" s="439"/>
      <c r="K167" s="439"/>
      <c r="L167" s="439"/>
      <c r="M167" s="439"/>
      <c r="N167" s="439"/>
      <c r="O167" s="439"/>
      <c r="P167" s="439"/>
      <c r="Q167" s="439"/>
      <c r="R167" s="439"/>
      <c r="S167" s="439"/>
      <c r="T167" s="439"/>
      <c r="U167" s="115"/>
      <c r="V167" s="115"/>
      <c r="W167" s="115"/>
    </row>
    <row r="168" spans="7:23" s="39" customFormat="1" x14ac:dyDescent="0.2">
      <c r="G168" s="439"/>
      <c r="H168" s="439"/>
      <c r="I168" s="439"/>
      <c r="J168" s="439"/>
      <c r="K168" s="439"/>
      <c r="L168" s="439"/>
      <c r="M168" s="439"/>
      <c r="N168" s="439"/>
      <c r="O168" s="439"/>
      <c r="P168" s="439"/>
      <c r="Q168" s="439"/>
      <c r="R168" s="439"/>
      <c r="S168" s="439"/>
      <c r="T168" s="439"/>
      <c r="U168" s="115"/>
      <c r="V168" s="115"/>
      <c r="W168" s="115"/>
    </row>
    <row r="169" spans="7:23" s="39" customFormat="1" x14ac:dyDescent="0.2">
      <c r="G169" s="439"/>
      <c r="H169" s="439"/>
      <c r="I169" s="439"/>
      <c r="J169" s="439"/>
      <c r="K169" s="439"/>
      <c r="L169" s="439"/>
      <c r="M169" s="439"/>
      <c r="N169" s="439"/>
      <c r="O169" s="439"/>
      <c r="P169" s="439"/>
      <c r="Q169" s="439"/>
      <c r="R169" s="439"/>
      <c r="S169" s="439"/>
      <c r="T169" s="439"/>
      <c r="U169" s="115"/>
      <c r="V169" s="115"/>
      <c r="W169" s="115"/>
    </row>
    <row r="170" spans="7:23" s="39" customFormat="1" x14ac:dyDescent="0.2">
      <c r="G170" s="439"/>
      <c r="H170" s="439"/>
      <c r="I170" s="439"/>
      <c r="J170" s="439"/>
      <c r="K170" s="439"/>
      <c r="L170" s="439"/>
      <c r="M170" s="439"/>
      <c r="N170" s="439"/>
      <c r="O170" s="439"/>
      <c r="P170" s="439"/>
      <c r="Q170" s="439"/>
      <c r="R170" s="439"/>
      <c r="S170" s="439"/>
      <c r="T170" s="439"/>
      <c r="U170" s="115"/>
      <c r="V170" s="115"/>
      <c r="W170" s="115"/>
    </row>
    <row r="171" spans="7:23" s="39" customFormat="1" x14ac:dyDescent="0.2">
      <c r="G171" s="439"/>
      <c r="H171" s="439"/>
      <c r="I171" s="439"/>
      <c r="J171" s="439"/>
      <c r="K171" s="439"/>
      <c r="L171" s="439"/>
      <c r="M171" s="439"/>
      <c r="N171" s="439"/>
      <c r="O171" s="439"/>
      <c r="P171" s="439"/>
      <c r="Q171" s="439"/>
      <c r="R171" s="439"/>
      <c r="S171" s="439"/>
      <c r="T171" s="439"/>
      <c r="U171" s="115"/>
      <c r="V171" s="115"/>
      <c r="W171" s="115"/>
    </row>
    <row r="172" spans="7:23" s="39" customFormat="1" x14ac:dyDescent="0.2">
      <c r="G172" s="439"/>
      <c r="H172" s="439"/>
      <c r="I172" s="439"/>
      <c r="J172" s="439"/>
      <c r="K172" s="439"/>
      <c r="L172" s="439"/>
      <c r="M172" s="439"/>
      <c r="N172" s="439"/>
      <c r="O172" s="439"/>
      <c r="P172" s="439"/>
      <c r="Q172" s="439"/>
      <c r="R172" s="439"/>
      <c r="S172" s="439"/>
      <c r="T172" s="439"/>
      <c r="U172" s="115"/>
      <c r="V172" s="115"/>
      <c r="W172" s="115"/>
    </row>
    <row r="173" spans="7:23" s="39" customFormat="1" x14ac:dyDescent="0.2">
      <c r="G173" s="439"/>
      <c r="H173" s="439"/>
      <c r="I173" s="439"/>
      <c r="J173" s="439"/>
      <c r="K173" s="439"/>
      <c r="L173" s="439"/>
      <c r="M173" s="439"/>
      <c r="N173" s="439"/>
      <c r="O173" s="439"/>
      <c r="P173" s="439"/>
      <c r="Q173" s="439"/>
      <c r="R173" s="439"/>
      <c r="S173" s="439"/>
      <c r="T173" s="439"/>
      <c r="U173" s="115"/>
      <c r="V173" s="115"/>
      <c r="W173" s="115"/>
    </row>
    <row r="174" spans="7:23" s="39" customFormat="1" x14ac:dyDescent="0.2">
      <c r="G174" s="439"/>
      <c r="H174" s="439"/>
      <c r="I174" s="439"/>
      <c r="J174" s="439"/>
      <c r="K174" s="439"/>
      <c r="L174" s="439"/>
      <c r="M174" s="439"/>
      <c r="N174" s="439"/>
      <c r="O174" s="439"/>
      <c r="P174" s="439"/>
      <c r="Q174" s="439"/>
      <c r="R174" s="439"/>
      <c r="S174" s="439"/>
      <c r="T174" s="439"/>
      <c r="U174" s="115"/>
      <c r="V174" s="115"/>
      <c r="W174" s="115"/>
    </row>
    <row r="175" spans="7:23" s="39" customFormat="1" x14ac:dyDescent="0.2">
      <c r="G175" s="439"/>
      <c r="H175" s="439"/>
      <c r="I175" s="439"/>
      <c r="J175" s="439"/>
      <c r="K175" s="439"/>
      <c r="L175" s="439"/>
      <c r="M175" s="439"/>
      <c r="N175" s="439"/>
      <c r="O175" s="439"/>
      <c r="P175" s="439"/>
      <c r="Q175" s="439"/>
      <c r="R175" s="439"/>
      <c r="S175" s="439"/>
      <c r="T175" s="439"/>
      <c r="U175" s="115"/>
      <c r="V175" s="115"/>
      <c r="W175" s="115"/>
    </row>
    <row r="176" spans="7:23" s="39" customFormat="1" x14ac:dyDescent="0.2">
      <c r="G176" s="439"/>
      <c r="H176" s="439"/>
      <c r="I176" s="439"/>
      <c r="J176" s="439"/>
      <c r="K176" s="439"/>
      <c r="L176" s="439"/>
      <c r="M176" s="439"/>
      <c r="N176" s="439"/>
      <c r="O176" s="439"/>
      <c r="P176" s="439"/>
      <c r="Q176" s="439"/>
      <c r="R176" s="439"/>
      <c r="S176" s="439"/>
      <c r="T176" s="439"/>
      <c r="U176" s="115"/>
      <c r="V176" s="115"/>
      <c r="W176" s="115"/>
    </row>
    <row r="177" spans="7:23" s="39" customFormat="1" x14ac:dyDescent="0.2">
      <c r="G177" s="439"/>
      <c r="H177" s="439"/>
      <c r="I177" s="439"/>
      <c r="J177" s="439"/>
      <c r="K177" s="439"/>
      <c r="L177" s="439"/>
      <c r="M177" s="439"/>
      <c r="N177" s="439"/>
      <c r="O177" s="439"/>
      <c r="P177" s="439"/>
      <c r="Q177" s="439"/>
      <c r="R177" s="439"/>
      <c r="S177" s="439"/>
      <c r="T177" s="439"/>
      <c r="U177" s="115"/>
      <c r="V177" s="115"/>
      <c r="W177" s="115"/>
    </row>
    <row r="178" spans="7:23" s="39" customFormat="1" x14ac:dyDescent="0.2">
      <c r="G178" s="439"/>
      <c r="H178" s="439"/>
      <c r="I178" s="439"/>
      <c r="J178" s="439"/>
      <c r="K178" s="439"/>
      <c r="L178" s="439"/>
      <c r="M178" s="439"/>
      <c r="N178" s="439"/>
      <c r="O178" s="439"/>
      <c r="P178" s="439"/>
      <c r="Q178" s="439"/>
      <c r="R178" s="439"/>
      <c r="S178" s="439"/>
      <c r="T178" s="439"/>
      <c r="U178" s="115"/>
      <c r="V178" s="115"/>
      <c r="W178" s="115"/>
    </row>
    <row r="179" spans="7:23" s="39" customFormat="1" x14ac:dyDescent="0.2">
      <c r="G179" s="439"/>
      <c r="H179" s="439"/>
      <c r="I179" s="439"/>
      <c r="J179" s="439"/>
      <c r="K179" s="439"/>
      <c r="L179" s="439"/>
      <c r="M179" s="439"/>
      <c r="N179" s="439"/>
      <c r="O179" s="439"/>
      <c r="P179" s="439"/>
      <c r="Q179" s="439"/>
      <c r="R179" s="439"/>
      <c r="S179" s="439"/>
      <c r="T179" s="439"/>
      <c r="U179" s="115"/>
      <c r="V179" s="115"/>
      <c r="W179" s="115"/>
    </row>
    <row r="180" spans="7:23" s="39" customFormat="1" x14ac:dyDescent="0.2">
      <c r="G180" s="439"/>
      <c r="H180" s="439"/>
      <c r="I180" s="439"/>
      <c r="J180" s="439"/>
      <c r="K180" s="439"/>
      <c r="L180" s="439"/>
      <c r="M180" s="439"/>
      <c r="N180" s="439"/>
      <c r="O180" s="439"/>
      <c r="P180" s="439"/>
      <c r="Q180" s="439"/>
      <c r="R180" s="439"/>
      <c r="S180" s="439"/>
      <c r="T180" s="439"/>
      <c r="U180" s="115"/>
      <c r="V180" s="115"/>
      <c r="W180" s="115"/>
    </row>
    <row r="181" spans="7:23" s="39" customFormat="1" x14ac:dyDescent="0.2">
      <c r="G181" s="439"/>
      <c r="H181" s="439"/>
      <c r="I181" s="439"/>
      <c r="J181" s="439"/>
      <c r="K181" s="439"/>
      <c r="L181" s="439"/>
      <c r="M181" s="439"/>
      <c r="N181" s="439"/>
      <c r="O181" s="439"/>
      <c r="P181" s="439"/>
      <c r="Q181" s="439"/>
      <c r="R181" s="439"/>
      <c r="S181" s="439"/>
      <c r="T181" s="439"/>
      <c r="U181" s="115"/>
      <c r="V181" s="115"/>
      <c r="W181" s="115"/>
    </row>
    <row r="182" spans="7:23" s="39" customFormat="1" x14ac:dyDescent="0.2">
      <c r="G182" s="439"/>
      <c r="H182" s="439"/>
      <c r="I182" s="439"/>
      <c r="J182" s="439"/>
      <c r="K182" s="439"/>
      <c r="L182" s="439"/>
      <c r="M182" s="439"/>
      <c r="N182" s="439"/>
      <c r="O182" s="439"/>
      <c r="P182" s="439"/>
      <c r="Q182" s="439"/>
      <c r="R182" s="439"/>
      <c r="S182" s="439"/>
      <c r="T182" s="439"/>
      <c r="U182" s="115"/>
      <c r="V182" s="115"/>
      <c r="W182" s="115"/>
    </row>
    <row r="183" spans="7:23" s="39" customFormat="1" x14ac:dyDescent="0.2">
      <c r="G183" s="439"/>
      <c r="H183" s="439"/>
      <c r="I183" s="439"/>
      <c r="J183" s="439"/>
      <c r="K183" s="439"/>
      <c r="L183" s="439"/>
      <c r="M183" s="439"/>
      <c r="N183" s="439"/>
      <c r="O183" s="439"/>
      <c r="P183" s="439"/>
      <c r="Q183" s="439"/>
      <c r="R183" s="439"/>
      <c r="S183" s="439"/>
      <c r="T183" s="439"/>
      <c r="U183" s="115"/>
      <c r="V183" s="115"/>
      <c r="W183" s="115"/>
    </row>
    <row r="184" spans="7:23" s="39" customFormat="1" x14ac:dyDescent="0.2">
      <c r="G184" s="439"/>
      <c r="H184" s="439"/>
      <c r="I184" s="439"/>
      <c r="J184" s="439"/>
      <c r="K184" s="439"/>
      <c r="L184" s="439"/>
      <c r="M184" s="439"/>
      <c r="N184" s="439"/>
      <c r="O184" s="439"/>
      <c r="P184" s="439"/>
      <c r="Q184" s="439"/>
      <c r="R184" s="439"/>
      <c r="S184" s="439"/>
      <c r="T184" s="439"/>
      <c r="U184" s="115"/>
      <c r="V184" s="115"/>
      <c r="W184" s="115"/>
    </row>
    <row r="185" spans="7:23" s="39" customFormat="1" x14ac:dyDescent="0.2">
      <c r="G185" s="439"/>
      <c r="H185" s="439"/>
      <c r="I185" s="439"/>
      <c r="J185" s="439"/>
      <c r="K185" s="439"/>
      <c r="L185" s="439"/>
      <c r="M185" s="439"/>
      <c r="N185" s="439"/>
      <c r="O185" s="439"/>
      <c r="P185" s="439"/>
      <c r="Q185" s="439"/>
      <c r="R185" s="439"/>
      <c r="S185" s="439"/>
      <c r="T185" s="439"/>
      <c r="U185" s="115"/>
      <c r="V185" s="115"/>
      <c r="W185" s="115"/>
    </row>
    <row r="186" spans="7:23" s="39" customFormat="1" x14ac:dyDescent="0.2">
      <c r="G186" s="439"/>
      <c r="H186" s="439"/>
      <c r="I186" s="439"/>
      <c r="J186" s="439"/>
      <c r="K186" s="439"/>
      <c r="L186" s="439"/>
      <c r="M186" s="439"/>
      <c r="N186" s="439"/>
      <c r="O186" s="439"/>
      <c r="P186" s="439"/>
      <c r="Q186" s="439"/>
      <c r="R186" s="439"/>
      <c r="S186" s="439"/>
      <c r="T186" s="439"/>
      <c r="U186" s="115"/>
      <c r="V186" s="115"/>
      <c r="W186" s="115"/>
    </row>
    <row r="187" spans="7:23" s="39" customFormat="1" x14ac:dyDescent="0.2">
      <c r="G187" s="439"/>
      <c r="H187" s="439"/>
      <c r="I187" s="439"/>
      <c r="J187" s="439"/>
      <c r="K187" s="439"/>
      <c r="L187" s="439"/>
      <c r="M187" s="439"/>
      <c r="N187" s="439"/>
      <c r="O187" s="439"/>
      <c r="P187" s="439"/>
      <c r="Q187" s="439"/>
      <c r="R187" s="439"/>
      <c r="S187" s="439"/>
      <c r="T187" s="439"/>
      <c r="U187" s="115"/>
      <c r="V187" s="115"/>
      <c r="W187" s="115"/>
    </row>
    <row r="188" spans="7:23" s="39" customFormat="1" x14ac:dyDescent="0.2">
      <c r="G188" s="439"/>
      <c r="H188" s="439"/>
      <c r="I188" s="439"/>
      <c r="J188" s="439"/>
      <c r="K188" s="439"/>
      <c r="L188" s="439"/>
      <c r="M188" s="439"/>
      <c r="N188" s="439"/>
      <c r="O188" s="439"/>
      <c r="P188" s="439"/>
      <c r="Q188" s="439"/>
      <c r="R188" s="439"/>
      <c r="S188" s="439"/>
      <c r="T188" s="439"/>
      <c r="U188" s="115"/>
      <c r="V188" s="115"/>
      <c r="W188" s="115"/>
    </row>
    <row r="189" spans="7:23" s="39" customFormat="1" x14ac:dyDescent="0.2">
      <c r="G189" s="439"/>
      <c r="H189" s="439"/>
      <c r="I189" s="439"/>
      <c r="J189" s="439"/>
      <c r="K189" s="439"/>
      <c r="L189" s="439"/>
      <c r="M189" s="439"/>
      <c r="N189" s="439"/>
      <c r="O189" s="439"/>
      <c r="P189" s="439"/>
      <c r="Q189" s="439"/>
      <c r="R189" s="439"/>
      <c r="S189" s="439"/>
      <c r="T189" s="439"/>
      <c r="U189" s="115"/>
      <c r="V189" s="115"/>
      <c r="W189" s="115"/>
    </row>
    <row r="190" spans="7:23" s="39" customFormat="1" x14ac:dyDescent="0.2">
      <c r="G190" s="439"/>
      <c r="H190" s="439"/>
      <c r="I190" s="439"/>
      <c r="J190" s="439"/>
      <c r="K190" s="439"/>
      <c r="L190" s="439"/>
      <c r="M190" s="439"/>
      <c r="N190" s="439"/>
      <c r="O190" s="439"/>
      <c r="P190" s="439"/>
      <c r="Q190" s="439"/>
      <c r="R190" s="439"/>
      <c r="S190" s="439"/>
      <c r="T190" s="439"/>
      <c r="U190" s="115"/>
      <c r="V190" s="115"/>
      <c r="W190" s="115"/>
    </row>
    <row r="191" spans="7:23" s="39" customFormat="1" x14ac:dyDescent="0.2">
      <c r="G191" s="439"/>
      <c r="H191" s="439"/>
      <c r="I191" s="439"/>
      <c r="J191" s="439"/>
      <c r="K191" s="439"/>
      <c r="L191" s="439"/>
      <c r="M191" s="439"/>
      <c r="N191" s="439"/>
      <c r="O191" s="439"/>
      <c r="P191" s="439"/>
      <c r="Q191" s="439"/>
      <c r="R191" s="439"/>
      <c r="S191" s="439"/>
      <c r="T191" s="439"/>
      <c r="U191" s="115"/>
      <c r="V191" s="115"/>
      <c r="W191" s="115"/>
    </row>
    <row r="192" spans="7:23" s="39" customFormat="1" x14ac:dyDescent="0.2">
      <c r="G192" s="439"/>
      <c r="H192" s="439"/>
      <c r="I192" s="439"/>
      <c r="J192" s="439"/>
      <c r="K192" s="439"/>
      <c r="L192" s="439"/>
      <c r="M192" s="439"/>
      <c r="N192" s="439"/>
      <c r="O192" s="439"/>
      <c r="P192" s="439"/>
      <c r="Q192" s="439"/>
      <c r="R192" s="439"/>
      <c r="S192" s="439"/>
      <c r="T192" s="439"/>
      <c r="U192" s="115"/>
      <c r="V192" s="115"/>
      <c r="W192" s="115"/>
    </row>
    <row r="193" spans="7:23" s="39" customFormat="1" x14ac:dyDescent="0.2">
      <c r="G193" s="439"/>
      <c r="H193" s="439"/>
      <c r="I193" s="439"/>
      <c r="J193" s="439"/>
      <c r="K193" s="439"/>
      <c r="L193" s="439"/>
      <c r="M193" s="439"/>
      <c r="N193" s="439"/>
      <c r="O193" s="439"/>
      <c r="P193" s="439"/>
      <c r="Q193" s="439"/>
      <c r="R193" s="439"/>
      <c r="S193" s="439"/>
      <c r="T193" s="439"/>
      <c r="U193" s="115"/>
      <c r="V193" s="115"/>
      <c r="W193" s="115"/>
    </row>
    <row r="194" spans="7:23" s="39" customFormat="1" x14ac:dyDescent="0.2">
      <c r="G194" s="439"/>
      <c r="H194" s="439"/>
      <c r="I194" s="439"/>
      <c r="J194" s="439"/>
      <c r="K194" s="439"/>
      <c r="L194" s="439"/>
      <c r="M194" s="439"/>
      <c r="N194" s="439"/>
      <c r="O194" s="439"/>
      <c r="P194" s="439"/>
      <c r="Q194" s="439"/>
      <c r="R194" s="439"/>
      <c r="S194" s="439"/>
      <c r="T194" s="439"/>
      <c r="U194" s="115"/>
      <c r="V194" s="115"/>
      <c r="W194" s="115"/>
    </row>
    <row r="195" spans="7:23" s="39" customFormat="1" x14ac:dyDescent="0.2">
      <c r="G195" s="439"/>
      <c r="H195" s="439"/>
      <c r="I195" s="439"/>
      <c r="J195" s="439"/>
      <c r="K195" s="439"/>
      <c r="L195" s="439"/>
      <c r="M195" s="439"/>
      <c r="N195" s="439"/>
      <c r="O195" s="439"/>
      <c r="P195" s="439"/>
      <c r="Q195" s="439"/>
      <c r="R195" s="439"/>
      <c r="S195" s="439"/>
      <c r="T195" s="439"/>
      <c r="U195" s="115"/>
      <c r="V195" s="115"/>
      <c r="W195" s="115"/>
    </row>
    <row r="196" spans="7:23" s="39" customFormat="1" x14ac:dyDescent="0.2">
      <c r="G196" s="439"/>
      <c r="H196" s="439"/>
      <c r="I196" s="439"/>
      <c r="J196" s="439"/>
      <c r="K196" s="439"/>
      <c r="L196" s="439"/>
      <c r="M196" s="439"/>
      <c r="N196" s="439"/>
      <c r="O196" s="439"/>
      <c r="P196" s="439"/>
      <c r="Q196" s="439"/>
      <c r="R196" s="439"/>
      <c r="S196" s="439"/>
      <c r="T196" s="439"/>
      <c r="U196" s="115"/>
      <c r="V196" s="115"/>
      <c r="W196" s="115"/>
    </row>
    <row r="197" spans="7:23" s="39" customFormat="1" x14ac:dyDescent="0.2">
      <c r="G197" s="439"/>
      <c r="H197" s="439"/>
      <c r="I197" s="439"/>
      <c r="J197" s="439"/>
      <c r="K197" s="439"/>
      <c r="L197" s="439"/>
      <c r="M197" s="439"/>
      <c r="N197" s="439"/>
      <c r="O197" s="439"/>
      <c r="P197" s="439"/>
      <c r="Q197" s="439"/>
      <c r="R197" s="439"/>
      <c r="S197" s="439"/>
      <c r="T197" s="439"/>
      <c r="U197" s="115"/>
      <c r="V197" s="115"/>
      <c r="W197" s="115"/>
    </row>
    <row r="198" spans="7:23" s="39" customFormat="1" x14ac:dyDescent="0.2">
      <c r="G198" s="439"/>
      <c r="H198" s="439"/>
      <c r="I198" s="439"/>
      <c r="J198" s="439"/>
      <c r="K198" s="439"/>
      <c r="L198" s="439"/>
      <c r="M198" s="439"/>
      <c r="N198" s="439"/>
      <c r="O198" s="439"/>
      <c r="P198" s="439"/>
      <c r="Q198" s="439"/>
      <c r="R198" s="439"/>
      <c r="S198" s="439"/>
      <c r="T198" s="439"/>
      <c r="U198" s="115"/>
      <c r="V198" s="115"/>
      <c r="W198" s="115"/>
    </row>
    <row r="199" spans="7:23" s="39" customFormat="1" x14ac:dyDescent="0.2">
      <c r="G199" s="439"/>
      <c r="H199" s="439"/>
      <c r="I199" s="439"/>
      <c r="J199" s="439"/>
      <c r="K199" s="439"/>
      <c r="L199" s="439"/>
      <c r="M199" s="439"/>
      <c r="N199" s="439"/>
      <c r="O199" s="439"/>
      <c r="P199" s="439"/>
      <c r="Q199" s="439"/>
      <c r="R199" s="439"/>
      <c r="S199" s="439"/>
      <c r="T199" s="439"/>
      <c r="U199" s="115"/>
      <c r="V199" s="115"/>
      <c r="W199" s="115"/>
    </row>
    <row r="200" spans="7:23" s="39" customFormat="1" x14ac:dyDescent="0.2">
      <c r="G200" s="439"/>
      <c r="H200" s="439"/>
      <c r="I200" s="439"/>
      <c r="J200" s="439"/>
      <c r="K200" s="439"/>
      <c r="L200" s="439"/>
      <c r="M200" s="439"/>
      <c r="N200" s="439"/>
      <c r="O200" s="439"/>
      <c r="P200" s="439"/>
      <c r="Q200" s="439"/>
      <c r="R200" s="439"/>
      <c r="S200" s="439"/>
      <c r="T200" s="439"/>
      <c r="U200" s="115"/>
      <c r="V200" s="115"/>
      <c r="W200" s="115"/>
    </row>
    <row r="201" spans="7:23" s="39" customFormat="1" x14ac:dyDescent="0.2">
      <c r="G201" s="439"/>
      <c r="H201" s="439"/>
      <c r="I201" s="439"/>
      <c r="J201" s="439"/>
      <c r="K201" s="439"/>
      <c r="L201" s="439"/>
      <c r="M201" s="439"/>
      <c r="N201" s="439"/>
      <c r="O201" s="439"/>
      <c r="P201" s="439"/>
      <c r="Q201" s="439"/>
      <c r="R201" s="439"/>
      <c r="S201" s="439"/>
      <c r="T201" s="439"/>
      <c r="U201" s="115"/>
      <c r="V201" s="115"/>
      <c r="W201" s="115"/>
    </row>
    <row r="202" spans="7:23" s="39" customFormat="1" x14ac:dyDescent="0.2">
      <c r="G202" s="439"/>
      <c r="H202" s="439"/>
      <c r="I202" s="439"/>
      <c r="J202" s="439"/>
      <c r="K202" s="439"/>
      <c r="L202" s="439"/>
      <c r="M202" s="439"/>
      <c r="N202" s="439"/>
      <c r="O202" s="439"/>
      <c r="P202" s="439"/>
      <c r="Q202" s="439"/>
      <c r="R202" s="439"/>
      <c r="S202" s="439"/>
      <c r="T202" s="439"/>
      <c r="U202" s="115"/>
      <c r="V202" s="115"/>
      <c r="W202" s="115"/>
    </row>
    <row r="203" spans="7:23" s="39" customFormat="1" x14ac:dyDescent="0.2">
      <c r="G203" s="439"/>
      <c r="H203" s="439"/>
      <c r="I203" s="439"/>
      <c r="J203" s="439"/>
      <c r="K203" s="439"/>
      <c r="L203" s="439"/>
      <c r="M203" s="439"/>
      <c r="N203" s="439"/>
      <c r="O203" s="439"/>
      <c r="P203" s="439"/>
      <c r="Q203" s="439"/>
      <c r="R203" s="439"/>
      <c r="S203" s="439"/>
      <c r="T203" s="439"/>
      <c r="U203" s="115"/>
      <c r="V203" s="115"/>
      <c r="W203" s="115"/>
    </row>
    <row r="204" spans="7:23" s="39" customFormat="1" x14ac:dyDescent="0.2">
      <c r="G204" s="439"/>
      <c r="H204" s="439"/>
      <c r="I204" s="439"/>
      <c r="J204" s="439"/>
      <c r="K204" s="439"/>
      <c r="L204" s="439"/>
      <c r="M204" s="439"/>
      <c r="N204" s="439"/>
      <c r="O204" s="439"/>
      <c r="P204" s="439"/>
      <c r="Q204" s="439"/>
      <c r="R204" s="439"/>
      <c r="S204" s="439"/>
      <c r="T204" s="439"/>
      <c r="U204" s="115"/>
      <c r="V204" s="115"/>
      <c r="W204" s="115"/>
    </row>
    <row r="205" spans="7:23" s="39" customFormat="1" x14ac:dyDescent="0.2">
      <c r="G205" s="439"/>
      <c r="H205" s="439"/>
      <c r="I205" s="439"/>
      <c r="J205" s="439"/>
      <c r="K205" s="439"/>
      <c r="L205" s="439"/>
      <c r="M205" s="439"/>
      <c r="N205" s="439"/>
      <c r="O205" s="439"/>
      <c r="P205" s="439"/>
      <c r="Q205" s="439"/>
      <c r="R205" s="439"/>
      <c r="S205" s="439"/>
      <c r="T205" s="439"/>
      <c r="U205" s="115"/>
      <c r="V205" s="115"/>
      <c r="W205" s="115"/>
    </row>
    <row r="206" spans="7:23" s="39" customFormat="1" x14ac:dyDescent="0.2">
      <c r="G206" s="439"/>
      <c r="H206" s="439"/>
      <c r="I206" s="439"/>
      <c r="J206" s="439"/>
      <c r="K206" s="439"/>
      <c r="L206" s="439"/>
      <c r="M206" s="439"/>
      <c r="N206" s="439"/>
      <c r="O206" s="439"/>
      <c r="P206" s="439"/>
      <c r="Q206" s="439"/>
      <c r="R206" s="439"/>
      <c r="S206" s="439"/>
      <c r="T206" s="439"/>
      <c r="U206" s="115"/>
      <c r="V206" s="115"/>
      <c r="W206" s="115"/>
    </row>
    <row r="207" spans="7:23" s="39" customFormat="1" x14ac:dyDescent="0.2">
      <c r="G207" s="439"/>
      <c r="H207" s="439"/>
      <c r="I207" s="439"/>
      <c r="J207" s="439"/>
      <c r="K207" s="439"/>
      <c r="L207" s="439"/>
      <c r="M207" s="439"/>
      <c r="N207" s="439"/>
      <c r="O207" s="439"/>
      <c r="P207" s="439"/>
      <c r="Q207" s="439"/>
      <c r="R207" s="439"/>
      <c r="S207" s="439"/>
      <c r="T207" s="439"/>
      <c r="U207" s="115"/>
      <c r="V207" s="115"/>
      <c r="W207" s="115"/>
    </row>
    <row r="208" spans="7:23" s="39" customFormat="1" x14ac:dyDescent="0.2">
      <c r="G208" s="439"/>
      <c r="H208" s="439"/>
      <c r="I208" s="439"/>
      <c r="J208" s="439"/>
      <c r="K208" s="439"/>
      <c r="L208" s="439"/>
      <c r="M208" s="439"/>
      <c r="N208" s="439"/>
      <c r="O208" s="439"/>
      <c r="P208" s="439"/>
      <c r="Q208" s="439"/>
      <c r="R208" s="439"/>
      <c r="S208" s="439"/>
      <c r="T208" s="439"/>
      <c r="U208" s="115"/>
      <c r="V208" s="115"/>
      <c r="W208" s="115"/>
    </row>
    <row r="209" spans="7:23" s="39" customFormat="1" x14ac:dyDescent="0.2">
      <c r="G209" s="439"/>
      <c r="H209" s="439"/>
      <c r="I209" s="439"/>
      <c r="J209" s="439"/>
      <c r="K209" s="439"/>
      <c r="L209" s="439"/>
      <c r="M209" s="439"/>
      <c r="N209" s="439"/>
      <c r="O209" s="439"/>
      <c r="P209" s="439"/>
      <c r="Q209" s="439"/>
      <c r="R209" s="439"/>
      <c r="S209" s="439"/>
      <c r="T209" s="439"/>
      <c r="U209" s="115"/>
      <c r="V209" s="115"/>
      <c r="W209" s="115"/>
    </row>
    <row r="210" spans="7:23" s="39" customFormat="1" x14ac:dyDescent="0.2">
      <c r="G210" s="439"/>
      <c r="H210" s="439"/>
      <c r="I210" s="439"/>
      <c r="J210" s="439"/>
      <c r="K210" s="439"/>
      <c r="L210" s="439"/>
      <c r="M210" s="439"/>
      <c r="N210" s="439"/>
      <c r="O210" s="439"/>
      <c r="P210" s="439"/>
      <c r="Q210" s="439"/>
      <c r="R210" s="439"/>
      <c r="S210" s="439"/>
      <c r="T210" s="439"/>
      <c r="U210" s="115"/>
      <c r="V210" s="115"/>
      <c r="W210" s="115"/>
    </row>
    <row r="211" spans="7:23" s="39" customFormat="1" x14ac:dyDescent="0.2">
      <c r="G211" s="439"/>
      <c r="H211" s="439"/>
      <c r="I211" s="439"/>
      <c r="J211" s="439"/>
      <c r="K211" s="439"/>
      <c r="L211" s="439"/>
      <c r="M211" s="439"/>
      <c r="N211" s="439"/>
      <c r="O211" s="439"/>
      <c r="P211" s="439"/>
      <c r="Q211" s="439"/>
      <c r="R211" s="439"/>
      <c r="S211" s="439"/>
      <c r="T211" s="439"/>
      <c r="U211" s="115"/>
      <c r="V211" s="115"/>
      <c r="W211" s="115"/>
    </row>
    <row r="212" spans="7:23" s="39" customFormat="1" x14ac:dyDescent="0.2">
      <c r="G212" s="439"/>
      <c r="H212" s="439"/>
      <c r="I212" s="439"/>
      <c r="J212" s="439"/>
      <c r="K212" s="439"/>
      <c r="L212" s="439"/>
      <c r="M212" s="439"/>
      <c r="N212" s="439"/>
      <c r="O212" s="439"/>
      <c r="P212" s="439"/>
      <c r="Q212" s="439"/>
      <c r="R212" s="439"/>
      <c r="S212" s="439"/>
      <c r="T212" s="439"/>
      <c r="U212" s="115"/>
      <c r="V212" s="115"/>
      <c r="W212" s="115"/>
    </row>
    <row r="213" spans="7:23" s="39" customFormat="1" x14ac:dyDescent="0.2">
      <c r="G213" s="439"/>
      <c r="H213" s="439"/>
      <c r="I213" s="439"/>
      <c r="J213" s="439"/>
      <c r="K213" s="439"/>
      <c r="L213" s="439"/>
      <c r="M213" s="439"/>
      <c r="N213" s="439"/>
      <c r="O213" s="439"/>
      <c r="P213" s="439"/>
      <c r="Q213" s="439"/>
      <c r="R213" s="439"/>
      <c r="S213" s="439"/>
      <c r="T213" s="439"/>
      <c r="U213" s="115"/>
      <c r="V213" s="115"/>
      <c r="W213" s="115"/>
    </row>
    <row r="214" spans="7:23" s="39" customFormat="1" x14ac:dyDescent="0.2">
      <c r="G214" s="439"/>
      <c r="H214" s="439"/>
      <c r="I214" s="439"/>
      <c r="J214" s="439"/>
      <c r="K214" s="439"/>
      <c r="L214" s="439"/>
      <c r="M214" s="439"/>
      <c r="N214" s="439"/>
      <c r="O214" s="439"/>
      <c r="P214" s="439"/>
      <c r="Q214" s="439"/>
      <c r="R214" s="439"/>
      <c r="S214" s="439"/>
      <c r="T214" s="439"/>
      <c r="U214" s="115"/>
      <c r="V214" s="115"/>
      <c r="W214" s="115"/>
    </row>
    <row r="215" spans="7:23" s="39" customFormat="1" x14ac:dyDescent="0.2">
      <c r="G215" s="439"/>
      <c r="H215" s="439"/>
      <c r="I215" s="439"/>
      <c r="J215" s="439"/>
      <c r="K215" s="439"/>
      <c r="L215" s="439"/>
      <c r="M215" s="439"/>
      <c r="N215" s="439"/>
      <c r="O215" s="439"/>
      <c r="P215" s="439"/>
      <c r="Q215" s="439"/>
      <c r="R215" s="439"/>
      <c r="S215" s="439"/>
      <c r="T215" s="439"/>
      <c r="U215" s="115"/>
      <c r="V215" s="115"/>
      <c r="W215" s="115"/>
    </row>
    <row r="216" spans="7:23" s="39" customFormat="1" x14ac:dyDescent="0.2">
      <c r="G216" s="439"/>
      <c r="H216" s="439"/>
      <c r="I216" s="439"/>
      <c r="J216" s="439"/>
      <c r="K216" s="439"/>
      <c r="L216" s="439"/>
      <c r="M216" s="439"/>
      <c r="N216" s="439"/>
      <c r="O216" s="439"/>
      <c r="P216" s="439"/>
      <c r="Q216" s="439"/>
      <c r="R216" s="439"/>
      <c r="S216" s="439"/>
      <c r="T216" s="439"/>
      <c r="U216" s="115"/>
      <c r="V216" s="115"/>
      <c r="W216" s="115"/>
    </row>
    <row r="217" spans="7:23" s="39" customFormat="1" x14ac:dyDescent="0.2">
      <c r="G217" s="439"/>
      <c r="H217" s="439"/>
      <c r="I217" s="439"/>
      <c r="J217" s="439"/>
      <c r="K217" s="439"/>
      <c r="L217" s="439"/>
      <c r="M217" s="439"/>
      <c r="N217" s="439"/>
      <c r="O217" s="439"/>
      <c r="P217" s="439"/>
      <c r="Q217" s="439"/>
      <c r="R217" s="439"/>
      <c r="S217" s="439"/>
      <c r="T217" s="439"/>
      <c r="U217" s="115"/>
      <c r="V217" s="115"/>
      <c r="W217" s="115"/>
    </row>
    <row r="218" spans="7:23" s="39" customFormat="1" x14ac:dyDescent="0.2">
      <c r="G218" s="439"/>
      <c r="H218" s="439"/>
      <c r="I218" s="439"/>
      <c r="J218" s="439"/>
      <c r="K218" s="439"/>
      <c r="L218" s="439"/>
      <c r="M218" s="439"/>
      <c r="N218" s="439"/>
      <c r="O218" s="439"/>
      <c r="P218" s="439"/>
      <c r="Q218" s="439"/>
      <c r="R218" s="439"/>
      <c r="S218" s="439"/>
      <c r="T218" s="439"/>
      <c r="U218" s="115"/>
      <c r="V218" s="115"/>
      <c r="W218" s="115"/>
    </row>
    <row r="219" spans="7:23" s="39" customFormat="1" x14ac:dyDescent="0.2">
      <c r="G219" s="439"/>
      <c r="H219" s="439"/>
      <c r="I219" s="439"/>
      <c r="J219" s="439"/>
      <c r="K219" s="439"/>
      <c r="L219" s="439"/>
      <c r="M219" s="439"/>
      <c r="N219" s="439"/>
      <c r="O219" s="439"/>
      <c r="P219" s="439"/>
      <c r="Q219" s="439"/>
      <c r="R219" s="439"/>
      <c r="S219" s="439"/>
      <c r="T219" s="439"/>
      <c r="U219" s="115"/>
      <c r="V219" s="115"/>
      <c r="W219" s="115"/>
    </row>
    <row r="220" spans="7:23" s="39" customFormat="1" x14ac:dyDescent="0.2">
      <c r="G220" s="439"/>
      <c r="H220" s="439"/>
      <c r="I220" s="439"/>
      <c r="J220" s="439"/>
      <c r="K220" s="439"/>
      <c r="L220" s="439"/>
      <c r="M220" s="439"/>
      <c r="N220" s="439"/>
      <c r="O220" s="439"/>
      <c r="P220" s="439"/>
      <c r="Q220" s="439"/>
      <c r="R220" s="439"/>
      <c r="S220" s="439"/>
      <c r="T220" s="439"/>
      <c r="U220" s="115"/>
      <c r="V220" s="115"/>
      <c r="W220" s="115"/>
    </row>
    <row r="221" spans="7:23" s="39" customFormat="1" x14ac:dyDescent="0.2">
      <c r="G221" s="439"/>
      <c r="H221" s="439"/>
      <c r="I221" s="115"/>
      <c r="J221" s="115"/>
      <c r="K221" s="115"/>
      <c r="L221" s="115"/>
      <c r="M221" s="115"/>
      <c r="N221" s="115"/>
      <c r="O221" s="115"/>
      <c r="P221" s="115"/>
      <c r="Q221" s="115"/>
      <c r="R221" s="115"/>
      <c r="S221" s="115"/>
      <c r="T221" s="115"/>
      <c r="U221" s="115"/>
      <c r="V221" s="115"/>
      <c r="W221" s="115"/>
    </row>
    <row r="222" spans="7:23" s="39" customFormat="1" x14ac:dyDescent="0.2">
      <c r="G222" s="439"/>
      <c r="H222" s="115"/>
      <c r="I222" s="115"/>
      <c r="J222" s="115"/>
      <c r="K222" s="115"/>
      <c r="L222" s="115"/>
      <c r="M222" s="115"/>
      <c r="N222" s="115"/>
      <c r="O222" s="115"/>
      <c r="P222" s="115"/>
      <c r="Q222" s="115"/>
      <c r="R222" s="115"/>
      <c r="S222" s="115"/>
      <c r="T222" s="115"/>
      <c r="U222" s="115"/>
      <c r="V222" s="115"/>
      <c r="W222" s="115"/>
    </row>
    <row r="223" spans="7:23" s="39" customFormat="1" x14ac:dyDescent="0.2">
      <c r="G223" s="439"/>
      <c r="H223" s="115"/>
      <c r="I223" s="115"/>
      <c r="J223" s="115"/>
      <c r="K223" s="115"/>
      <c r="L223" s="115"/>
      <c r="M223" s="115"/>
      <c r="N223" s="115"/>
      <c r="O223" s="115"/>
      <c r="P223" s="115"/>
      <c r="Q223" s="115"/>
      <c r="R223" s="115"/>
      <c r="S223" s="115"/>
      <c r="T223" s="115"/>
      <c r="U223" s="115"/>
      <c r="V223" s="115"/>
      <c r="W223" s="115"/>
    </row>
    <row r="224" spans="7:23" s="39" customFormat="1" x14ac:dyDescent="0.2">
      <c r="G224" s="439"/>
      <c r="H224" s="115"/>
      <c r="I224" s="115"/>
      <c r="J224" s="115"/>
      <c r="K224" s="115"/>
      <c r="L224" s="115"/>
      <c r="M224" s="115"/>
      <c r="N224" s="115"/>
      <c r="O224" s="115"/>
      <c r="P224" s="115"/>
      <c r="Q224" s="115"/>
      <c r="R224" s="115"/>
      <c r="S224" s="115"/>
      <c r="T224" s="115"/>
      <c r="U224" s="115"/>
      <c r="V224" s="115"/>
      <c r="W224" s="115"/>
    </row>
    <row r="225" spans="7:23" s="39" customFormat="1" x14ac:dyDescent="0.2">
      <c r="G225" s="439"/>
      <c r="H225" s="115"/>
      <c r="I225" s="115"/>
      <c r="J225" s="115"/>
      <c r="K225" s="115"/>
      <c r="L225" s="115"/>
      <c r="M225" s="115"/>
      <c r="N225" s="115"/>
      <c r="O225" s="115"/>
      <c r="P225" s="115"/>
      <c r="Q225" s="115"/>
      <c r="R225" s="115"/>
      <c r="S225" s="115"/>
      <c r="T225" s="115"/>
      <c r="U225" s="115"/>
      <c r="V225" s="115"/>
      <c r="W225" s="115"/>
    </row>
    <row r="226" spans="7:23" s="39" customFormat="1" x14ac:dyDescent="0.2">
      <c r="G226" s="439"/>
      <c r="H226" s="115"/>
      <c r="I226" s="115"/>
      <c r="J226" s="115"/>
      <c r="K226" s="115"/>
      <c r="L226" s="115"/>
      <c r="M226" s="115"/>
      <c r="N226" s="115"/>
      <c r="O226" s="115"/>
      <c r="P226" s="115"/>
      <c r="Q226" s="115"/>
      <c r="R226" s="115"/>
      <c r="S226" s="115"/>
      <c r="T226" s="115"/>
      <c r="U226" s="115"/>
      <c r="V226" s="115"/>
      <c r="W226" s="115"/>
    </row>
    <row r="227" spans="7:23" s="39" customFormat="1" x14ac:dyDescent="0.2">
      <c r="G227" s="439"/>
      <c r="H227" s="115"/>
      <c r="I227" s="115"/>
      <c r="J227" s="115"/>
      <c r="K227" s="115"/>
      <c r="L227" s="115"/>
      <c r="M227" s="115"/>
      <c r="N227" s="115"/>
      <c r="O227" s="115"/>
      <c r="P227" s="115"/>
      <c r="Q227" s="115"/>
      <c r="R227" s="115"/>
      <c r="S227" s="115"/>
      <c r="T227" s="115"/>
      <c r="U227" s="115"/>
      <c r="V227" s="115"/>
      <c r="W227" s="115"/>
    </row>
    <row r="228" spans="7:23" s="39" customFormat="1" x14ac:dyDescent="0.2">
      <c r="G228" s="439"/>
      <c r="H228" s="115"/>
      <c r="I228" s="115"/>
      <c r="J228" s="115"/>
      <c r="K228" s="115"/>
      <c r="L228" s="115"/>
      <c r="M228" s="115"/>
      <c r="N228" s="115"/>
      <c r="O228" s="115"/>
      <c r="P228" s="115"/>
      <c r="Q228" s="115"/>
      <c r="R228" s="115"/>
      <c r="S228" s="115"/>
      <c r="T228" s="115"/>
      <c r="U228" s="115"/>
      <c r="V228" s="115"/>
      <c r="W228" s="115"/>
    </row>
    <row r="229" spans="7:23" s="39" customFormat="1" x14ac:dyDescent="0.2">
      <c r="G229" s="439"/>
      <c r="H229" s="115"/>
      <c r="I229" s="115"/>
      <c r="J229" s="115"/>
      <c r="K229" s="115"/>
      <c r="L229" s="115"/>
      <c r="M229" s="115"/>
      <c r="N229" s="115"/>
      <c r="O229" s="115"/>
      <c r="P229" s="115"/>
      <c r="Q229" s="115"/>
      <c r="R229" s="115"/>
      <c r="S229" s="115"/>
      <c r="T229" s="115"/>
      <c r="U229" s="115"/>
      <c r="V229" s="115"/>
      <c r="W229" s="115"/>
    </row>
    <row r="230" spans="7:23" s="39" customFormat="1" x14ac:dyDescent="0.2">
      <c r="G230" s="439"/>
      <c r="H230" s="115"/>
      <c r="I230" s="115"/>
      <c r="J230" s="115"/>
      <c r="K230" s="115"/>
      <c r="L230" s="115"/>
      <c r="M230" s="115"/>
      <c r="N230" s="115"/>
      <c r="O230" s="115"/>
      <c r="P230" s="115"/>
      <c r="Q230" s="115"/>
      <c r="R230" s="115"/>
      <c r="S230" s="115"/>
      <c r="T230" s="115"/>
      <c r="U230" s="115"/>
      <c r="V230" s="115"/>
      <c r="W230" s="115"/>
    </row>
    <row r="231" spans="7:23" s="39" customFormat="1" x14ac:dyDescent="0.2">
      <c r="G231" s="439"/>
      <c r="H231" s="115"/>
      <c r="I231" s="115"/>
      <c r="J231" s="115"/>
      <c r="K231" s="115"/>
      <c r="L231" s="115"/>
      <c r="M231" s="115"/>
      <c r="N231" s="115"/>
      <c r="O231" s="115"/>
      <c r="P231" s="115"/>
      <c r="Q231" s="115"/>
      <c r="R231" s="115"/>
      <c r="S231" s="115"/>
      <c r="T231" s="115"/>
      <c r="U231" s="115"/>
      <c r="V231" s="115"/>
      <c r="W231" s="115"/>
    </row>
    <row r="232" spans="7:23" s="39" customFormat="1" x14ac:dyDescent="0.2">
      <c r="G232" s="439"/>
      <c r="H232" s="115"/>
      <c r="I232" s="115"/>
      <c r="J232" s="115"/>
      <c r="K232" s="115"/>
      <c r="L232" s="115"/>
      <c r="M232" s="115"/>
      <c r="N232" s="115"/>
      <c r="O232" s="115"/>
      <c r="P232" s="115"/>
      <c r="Q232" s="115"/>
      <c r="R232" s="115"/>
      <c r="S232" s="115"/>
      <c r="T232" s="115"/>
      <c r="U232" s="115"/>
      <c r="V232" s="115"/>
      <c r="W232" s="115"/>
    </row>
    <row r="233" spans="7:23" s="39" customFormat="1" x14ac:dyDescent="0.2">
      <c r="G233" s="439"/>
      <c r="H233" s="115"/>
      <c r="I233" s="115"/>
      <c r="J233" s="115"/>
      <c r="K233" s="115"/>
      <c r="L233" s="115"/>
      <c r="M233" s="115"/>
      <c r="N233" s="115"/>
      <c r="O233" s="115"/>
      <c r="P233" s="115"/>
      <c r="Q233" s="115"/>
      <c r="R233" s="115"/>
      <c r="S233" s="115"/>
      <c r="T233" s="115"/>
      <c r="U233" s="115"/>
      <c r="V233" s="115"/>
      <c r="W233" s="115"/>
    </row>
    <row r="234" spans="7:23" s="39" customFormat="1" x14ac:dyDescent="0.2">
      <c r="G234" s="439"/>
      <c r="H234" s="115"/>
      <c r="I234" s="115"/>
      <c r="J234" s="115"/>
      <c r="K234" s="115"/>
      <c r="L234" s="115"/>
      <c r="M234" s="115"/>
      <c r="N234" s="115"/>
      <c r="O234" s="115"/>
      <c r="P234" s="115"/>
      <c r="Q234" s="115"/>
      <c r="R234" s="115"/>
      <c r="S234" s="115"/>
      <c r="T234" s="115"/>
      <c r="U234" s="115"/>
      <c r="V234" s="115"/>
      <c r="W234" s="115"/>
    </row>
    <row r="235" spans="7:23" s="39" customFormat="1" x14ac:dyDescent="0.2">
      <c r="G235" s="439"/>
      <c r="H235" s="115"/>
      <c r="I235" s="115"/>
      <c r="J235" s="115"/>
      <c r="K235" s="115"/>
      <c r="L235" s="115"/>
      <c r="M235" s="115"/>
      <c r="N235" s="115"/>
      <c r="O235" s="115"/>
      <c r="P235" s="115"/>
      <c r="Q235" s="115"/>
      <c r="R235" s="115"/>
      <c r="S235" s="115"/>
      <c r="T235" s="115"/>
      <c r="U235" s="115"/>
      <c r="V235" s="115"/>
      <c r="W235" s="115"/>
    </row>
    <row r="236" spans="7:23" s="39" customFormat="1" x14ac:dyDescent="0.2">
      <c r="G236" s="439"/>
      <c r="H236" s="115"/>
      <c r="I236" s="115"/>
      <c r="J236" s="115"/>
      <c r="K236" s="115"/>
      <c r="L236" s="115"/>
      <c r="M236" s="115"/>
      <c r="N236" s="115"/>
      <c r="O236" s="115"/>
      <c r="P236" s="115"/>
      <c r="Q236" s="115"/>
      <c r="R236" s="115"/>
      <c r="S236" s="115"/>
      <c r="T236" s="115"/>
      <c r="U236" s="115"/>
      <c r="V236" s="115"/>
      <c r="W236" s="115"/>
    </row>
    <row r="237" spans="7:23" s="39" customFormat="1" x14ac:dyDescent="0.2">
      <c r="G237" s="439"/>
      <c r="H237" s="115"/>
      <c r="I237" s="115"/>
      <c r="J237" s="115"/>
      <c r="K237" s="115"/>
      <c r="L237" s="115"/>
      <c r="M237" s="115"/>
      <c r="N237" s="115"/>
      <c r="O237" s="115"/>
      <c r="P237" s="115"/>
      <c r="Q237" s="115"/>
      <c r="R237" s="115"/>
      <c r="S237" s="115"/>
      <c r="T237" s="115"/>
      <c r="U237" s="115"/>
      <c r="V237" s="115"/>
      <c r="W237" s="115"/>
    </row>
    <row r="238" spans="7:23" s="39" customFormat="1" x14ac:dyDescent="0.2">
      <c r="G238" s="439"/>
      <c r="H238" s="115"/>
      <c r="I238" s="115"/>
      <c r="J238" s="115"/>
      <c r="K238" s="115"/>
      <c r="L238" s="115"/>
      <c r="M238" s="115"/>
      <c r="N238" s="115"/>
      <c r="O238" s="115"/>
      <c r="P238" s="115"/>
      <c r="Q238" s="115"/>
      <c r="R238" s="115"/>
      <c r="S238" s="115"/>
      <c r="T238" s="115"/>
      <c r="U238" s="115"/>
      <c r="V238" s="115"/>
      <c r="W238" s="115"/>
    </row>
    <row r="239" spans="7:23" s="39" customFormat="1" x14ac:dyDescent="0.2">
      <c r="G239" s="439"/>
      <c r="H239" s="115"/>
      <c r="I239" s="115"/>
      <c r="J239" s="115"/>
      <c r="K239" s="115"/>
      <c r="L239" s="115"/>
      <c r="M239" s="115"/>
      <c r="N239" s="115"/>
      <c r="O239" s="115"/>
      <c r="P239" s="115"/>
      <c r="Q239" s="115"/>
      <c r="R239" s="115"/>
      <c r="S239" s="115"/>
      <c r="T239" s="115"/>
      <c r="U239" s="115"/>
      <c r="V239" s="115"/>
      <c r="W239" s="115"/>
    </row>
    <row r="240" spans="7:23" s="39" customFormat="1" x14ac:dyDescent="0.2">
      <c r="G240" s="115"/>
      <c r="H240" s="115"/>
      <c r="I240" s="115"/>
      <c r="J240" s="115"/>
      <c r="K240" s="115"/>
      <c r="L240" s="115"/>
      <c r="M240" s="115"/>
      <c r="N240" s="115"/>
      <c r="O240" s="115"/>
      <c r="P240" s="115"/>
      <c r="Q240" s="115"/>
      <c r="R240" s="115"/>
      <c r="S240" s="115"/>
      <c r="T240" s="115"/>
      <c r="U240" s="115"/>
      <c r="V240" s="115"/>
      <c r="W240" s="115"/>
    </row>
    <row r="241" spans="7:23" s="39" customFormat="1" x14ac:dyDescent="0.2">
      <c r="G241" s="115"/>
      <c r="H241" s="115"/>
      <c r="I241" s="115"/>
      <c r="J241" s="115"/>
      <c r="K241" s="115"/>
      <c r="L241" s="115"/>
      <c r="M241" s="115"/>
      <c r="N241" s="115"/>
      <c r="O241" s="115"/>
      <c r="P241" s="115"/>
      <c r="Q241" s="115"/>
      <c r="R241" s="115"/>
      <c r="S241" s="115"/>
      <c r="T241" s="115"/>
      <c r="U241" s="115"/>
      <c r="V241" s="115"/>
      <c r="W241" s="115"/>
    </row>
    <row r="242" spans="7:23" s="39" customFormat="1" x14ac:dyDescent="0.2">
      <c r="G242" s="115"/>
      <c r="H242" s="115"/>
      <c r="I242" s="115"/>
      <c r="J242" s="115"/>
      <c r="K242" s="115"/>
      <c r="L242" s="115"/>
      <c r="M242" s="115"/>
      <c r="N242" s="115"/>
      <c r="O242" s="115"/>
      <c r="P242" s="115"/>
      <c r="Q242" s="115"/>
      <c r="R242" s="115"/>
      <c r="S242" s="115"/>
      <c r="T242" s="115"/>
      <c r="U242" s="115"/>
      <c r="V242" s="115"/>
      <c r="W242" s="115"/>
    </row>
    <row r="243" spans="7:23" s="39" customFormat="1" x14ac:dyDescent="0.2">
      <c r="G243" s="115"/>
      <c r="H243" s="115"/>
      <c r="I243" s="115"/>
      <c r="J243" s="115"/>
      <c r="K243" s="115"/>
      <c r="L243" s="115"/>
      <c r="M243" s="115"/>
      <c r="N243" s="115"/>
      <c r="O243" s="115"/>
      <c r="P243" s="115"/>
      <c r="Q243" s="115"/>
      <c r="R243" s="115"/>
      <c r="S243" s="115"/>
      <c r="T243" s="115"/>
      <c r="U243" s="115"/>
      <c r="V243" s="115"/>
      <c r="W243" s="115"/>
    </row>
    <row r="244" spans="7:23" s="39" customFormat="1" x14ac:dyDescent="0.2">
      <c r="G244" s="115"/>
      <c r="H244" s="115"/>
      <c r="I244" s="115"/>
      <c r="J244" s="115"/>
      <c r="K244" s="115"/>
      <c r="L244" s="115"/>
      <c r="M244" s="115"/>
      <c r="N244" s="115"/>
      <c r="O244" s="115"/>
      <c r="P244" s="115"/>
      <c r="Q244" s="115"/>
      <c r="R244" s="115"/>
      <c r="S244" s="115"/>
      <c r="T244" s="115"/>
      <c r="U244" s="115"/>
      <c r="V244" s="115"/>
      <c r="W244" s="115"/>
    </row>
    <row r="245" spans="7:23" s="39" customFormat="1" x14ac:dyDescent="0.2">
      <c r="G245" s="115"/>
      <c r="H245" s="115"/>
      <c r="I245" s="115"/>
      <c r="J245" s="115"/>
      <c r="K245" s="115"/>
      <c r="L245" s="115"/>
      <c r="M245" s="115"/>
      <c r="N245" s="115"/>
      <c r="O245" s="115"/>
      <c r="P245" s="115"/>
      <c r="Q245" s="115"/>
      <c r="R245" s="115"/>
      <c r="S245" s="115"/>
      <c r="T245" s="115"/>
      <c r="U245" s="115"/>
      <c r="V245" s="115"/>
      <c r="W245" s="115"/>
    </row>
    <row r="246" spans="7:23" s="39" customFormat="1" x14ac:dyDescent="0.2">
      <c r="G246" s="115"/>
      <c r="H246" s="115"/>
      <c r="I246" s="115"/>
      <c r="J246" s="115"/>
      <c r="K246" s="115"/>
      <c r="L246" s="115"/>
      <c r="M246" s="115"/>
      <c r="N246" s="115"/>
      <c r="O246" s="115"/>
      <c r="P246" s="115"/>
      <c r="Q246" s="115"/>
      <c r="R246" s="115"/>
      <c r="S246" s="115"/>
      <c r="T246" s="115"/>
      <c r="U246" s="115"/>
      <c r="V246" s="115"/>
      <c r="W246" s="115"/>
    </row>
    <row r="247" spans="7:23" s="39" customFormat="1" x14ac:dyDescent="0.2">
      <c r="G247" s="115"/>
      <c r="H247" s="115"/>
      <c r="I247" s="115"/>
      <c r="J247" s="115"/>
      <c r="K247" s="115"/>
      <c r="L247" s="115"/>
      <c r="M247" s="115"/>
      <c r="N247" s="115"/>
      <c r="O247" s="115"/>
      <c r="P247" s="115"/>
      <c r="Q247" s="115"/>
      <c r="R247" s="115"/>
      <c r="S247" s="115"/>
      <c r="T247" s="115"/>
      <c r="U247" s="115"/>
      <c r="V247" s="115"/>
      <c r="W247" s="115"/>
    </row>
    <row r="248" spans="7:23" s="39" customFormat="1" x14ac:dyDescent="0.2">
      <c r="G248" s="115"/>
      <c r="H248" s="115"/>
      <c r="I248" s="115"/>
      <c r="J248" s="115"/>
      <c r="K248" s="115"/>
      <c r="L248" s="115"/>
      <c r="M248" s="115"/>
      <c r="N248" s="115"/>
      <c r="O248" s="115"/>
      <c r="P248" s="115"/>
      <c r="Q248" s="115"/>
      <c r="R248" s="115"/>
      <c r="S248" s="115"/>
      <c r="T248" s="115"/>
      <c r="U248" s="115"/>
      <c r="V248" s="115"/>
      <c r="W248" s="115"/>
    </row>
    <row r="249" spans="7:23" s="39" customFormat="1" x14ac:dyDescent="0.2">
      <c r="G249" s="115"/>
      <c r="H249" s="115"/>
      <c r="I249" s="115"/>
      <c r="J249" s="115"/>
      <c r="K249" s="115"/>
      <c r="L249" s="115"/>
      <c r="M249" s="115"/>
      <c r="N249" s="115"/>
      <c r="O249" s="115"/>
      <c r="P249" s="115"/>
      <c r="Q249" s="115"/>
      <c r="R249" s="115"/>
      <c r="S249" s="115"/>
      <c r="T249" s="115"/>
      <c r="U249" s="115"/>
      <c r="V249" s="115"/>
      <c r="W249" s="115"/>
    </row>
    <row r="250" spans="7:23" s="39" customFormat="1" x14ac:dyDescent="0.2">
      <c r="G250" s="115"/>
      <c r="H250" s="115"/>
      <c r="I250" s="115"/>
      <c r="J250" s="115"/>
      <c r="K250" s="115"/>
      <c r="L250" s="115"/>
      <c r="M250" s="115"/>
      <c r="N250" s="115"/>
      <c r="O250" s="115"/>
      <c r="P250" s="115"/>
      <c r="Q250" s="115"/>
      <c r="R250" s="115"/>
      <c r="S250" s="115"/>
      <c r="T250" s="115"/>
      <c r="U250" s="115"/>
      <c r="V250" s="115"/>
      <c r="W250" s="115"/>
    </row>
    <row r="251" spans="7:23" s="39" customFormat="1" x14ac:dyDescent="0.2">
      <c r="G251" s="115"/>
      <c r="H251" s="115"/>
      <c r="I251" s="115"/>
      <c r="J251" s="115"/>
      <c r="K251" s="115"/>
      <c r="L251" s="115"/>
      <c r="M251" s="115"/>
      <c r="N251" s="115"/>
      <c r="O251" s="115"/>
      <c r="P251" s="115"/>
      <c r="Q251" s="115"/>
      <c r="R251" s="115"/>
      <c r="S251" s="115"/>
      <c r="T251" s="115"/>
      <c r="U251" s="115"/>
      <c r="V251" s="115"/>
      <c r="W251" s="115"/>
    </row>
    <row r="252" spans="7:23" s="39" customFormat="1" x14ac:dyDescent="0.2">
      <c r="G252" s="115"/>
      <c r="H252" s="115"/>
      <c r="I252" s="115"/>
      <c r="J252" s="115"/>
      <c r="K252" s="115"/>
      <c r="L252" s="115"/>
      <c r="M252" s="115"/>
      <c r="N252" s="115"/>
      <c r="O252" s="115"/>
      <c r="P252" s="115"/>
      <c r="Q252" s="115"/>
      <c r="R252" s="115"/>
      <c r="S252" s="115"/>
      <c r="T252" s="115"/>
      <c r="U252" s="115"/>
      <c r="V252" s="115"/>
      <c r="W252" s="115"/>
    </row>
    <row r="253" spans="7:23" s="39" customFormat="1" x14ac:dyDescent="0.2">
      <c r="G253" s="439"/>
      <c r="H253" s="115"/>
      <c r="I253" s="115"/>
      <c r="J253" s="115"/>
      <c r="K253" s="115"/>
      <c r="L253" s="115"/>
      <c r="M253" s="115"/>
      <c r="N253" s="115"/>
      <c r="O253" s="115"/>
      <c r="P253" s="115"/>
      <c r="Q253" s="115"/>
      <c r="R253" s="115"/>
      <c r="S253" s="115"/>
      <c r="T253" s="115"/>
      <c r="U253" s="115"/>
      <c r="V253" s="115"/>
      <c r="W253" s="115"/>
    </row>
    <row r="254" spans="7:23" s="39" customFormat="1" x14ac:dyDescent="0.2">
      <c r="G254" s="439"/>
      <c r="H254" s="115"/>
      <c r="I254" s="115"/>
      <c r="J254" s="115"/>
      <c r="K254" s="115"/>
      <c r="L254" s="115"/>
      <c r="M254" s="115"/>
      <c r="N254" s="115"/>
      <c r="O254" s="115"/>
      <c r="P254" s="115"/>
      <c r="Q254" s="115"/>
      <c r="R254" s="115"/>
      <c r="S254" s="115"/>
      <c r="T254" s="115"/>
      <c r="U254" s="115"/>
      <c r="V254" s="115"/>
      <c r="W254" s="115"/>
    </row>
    <row r="255" spans="7:23" s="39" customFormat="1" x14ac:dyDescent="0.2">
      <c r="G255" s="439"/>
      <c r="H255" s="115"/>
      <c r="I255" s="115"/>
      <c r="J255" s="115"/>
      <c r="K255" s="115"/>
      <c r="L255" s="115"/>
      <c r="M255" s="115"/>
      <c r="N255" s="115"/>
      <c r="O255" s="115"/>
      <c r="P255" s="115"/>
      <c r="Q255" s="115"/>
      <c r="R255" s="115"/>
      <c r="S255" s="115"/>
      <c r="T255" s="115"/>
      <c r="U255" s="115"/>
      <c r="V255" s="115"/>
      <c r="W255" s="115"/>
    </row>
    <row r="256" spans="7:23" s="39" customFormat="1" x14ac:dyDescent="0.2">
      <c r="G256" s="439"/>
      <c r="H256" s="115"/>
      <c r="I256" s="115"/>
      <c r="J256" s="115"/>
      <c r="K256" s="115"/>
      <c r="L256" s="115"/>
      <c r="M256" s="115"/>
      <c r="N256" s="115"/>
      <c r="O256" s="115"/>
      <c r="P256" s="115"/>
      <c r="Q256" s="115"/>
      <c r="R256" s="115"/>
      <c r="S256" s="115"/>
      <c r="T256" s="115"/>
      <c r="U256" s="115"/>
      <c r="V256" s="115"/>
      <c r="W256" s="115"/>
    </row>
    <row r="257" spans="7:23" s="39" customFormat="1" x14ac:dyDescent="0.2">
      <c r="G257" s="439"/>
      <c r="H257" s="115"/>
      <c r="I257" s="115"/>
      <c r="J257" s="115"/>
      <c r="K257" s="115"/>
      <c r="L257" s="115"/>
      <c r="M257" s="115"/>
      <c r="N257" s="115"/>
      <c r="O257" s="115"/>
      <c r="P257" s="115"/>
      <c r="Q257" s="115"/>
      <c r="R257" s="115"/>
      <c r="S257" s="115"/>
      <c r="T257" s="115"/>
      <c r="U257" s="115"/>
      <c r="V257" s="115"/>
      <c r="W257" s="115"/>
    </row>
    <row r="258" spans="7:23" s="39" customFormat="1" x14ac:dyDescent="0.2">
      <c r="G258" s="439"/>
      <c r="H258" s="115"/>
      <c r="I258" s="115"/>
      <c r="J258" s="115"/>
      <c r="K258" s="115"/>
      <c r="L258" s="115"/>
      <c r="M258" s="115"/>
      <c r="N258" s="115"/>
      <c r="O258" s="115"/>
      <c r="P258" s="115"/>
      <c r="Q258" s="115"/>
      <c r="R258" s="115"/>
      <c r="S258" s="115"/>
      <c r="T258" s="115"/>
      <c r="U258" s="115"/>
      <c r="V258" s="115"/>
      <c r="W258" s="115"/>
    </row>
    <row r="259" spans="7:23" s="39" customFormat="1" x14ac:dyDescent="0.2">
      <c r="G259" s="439"/>
      <c r="H259" s="115"/>
      <c r="I259" s="115"/>
      <c r="J259" s="115"/>
      <c r="K259" s="115"/>
      <c r="L259" s="115"/>
      <c r="M259" s="115"/>
      <c r="N259" s="115"/>
      <c r="O259" s="115"/>
      <c r="P259" s="115"/>
      <c r="Q259" s="115"/>
      <c r="R259" s="115"/>
      <c r="S259" s="115"/>
      <c r="T259" s="115"/>
      <c r="U259" s="115"/>
      <c r="V259" s="115"/>
      <c r="W259" s="115"/>
    </row>
    <row r="260" spans="7:23" s="39" customFormat="1" x14ac:dyDescent="0.2">
      <c r="G260" s="115"/>
      <c r="H260" s="115"/>
      <c r="I260" s="115"/>
      <c r="J260" s="115"/>
      <c r="K260" s="115"/>
      <c r="L260" s="115"/>
      <c r="M260" s="115"/>
      <c r="N260" s="115"/>
      <c r="O260" s="115"/>
      <c r="P260" s="115"/>
      <c r="Q260" s="115"/>
      <c r="R260" s="115"/>
      <c r="S260" s="115"/>
      <c r="T260" s="115"/>
      <c r="U260" s="115"/>
      <c r="V260" s="115"/>
      <c r="W260" s="115"/>
    </row>
    <row r="261" spans="7:23" s="39" customFormat="1" x14ac:dyDescent="0.2">
      <c r="G261" s="115"/>
      <c r="H261" s="115"/>
      <c r="I261" s="115"/>
      <c r="J261" s="115"/>
      <c r="K261" s="115"/>
      <c r="L261" s="115"/>
      <c r="M261" s="115"/>
      <c r="N261" s="115"/>
      <c r="O261" s="115"/>
      <c r="P261" s="115"/>
      <c r="Q261" s="115"/>
      <c r="R261" s="115"/>
      <c r="S261" s="115"/>
      <c r="T261" s="115"/>
      <c r="U261" s="115"/>
      <c r="V261" s="115"/>
      <c r="W261" s="115"/>
    </row>
    <row r="262" spans="7:23" s="39" customFormat="1" x14ac:dyDescent="0.2">
      <c r="G262" s="115"/>
      <c r="H262" s="115"/>
      <c r="I262" s="115"/>
      <c r="J262" s="115"/>
      <c r="K262" s="115"/>
      <c r="L262" s="115"/>
      <c r="M262" s="115"/>
      <c r="N262" s="115"/>
      <c r="O262" s="115"/>
      <c r="P262" s="115"/>
      <c r="Q262" s="115"/>
      <c r="R262" s="115"/>
      <c r="S262" s="115"/>
      <c r="T262" s="115"/>
      <c r="U262" s="115"/>
      <c r="V262" s="115"/>
      <c r="W262" s="115"/>
    </row>
    <row r="263" spans="7:23" s="39" customFormat="1" x14ac:dyDescent="0.2">
      <c r="G263" s="115"/>
      <c r="H263" s="115"/>
      <c r="I263" s="115"/>
      <c r="J263" s="115"/>
      <c r="K263" s="115"/>
      <c r="L263" s="115"/>
      <c r="M263" s="115"/>
      <c r="N263" s="115"/>
      <c r="O263" s="115"/>
      <c r="P263" s="115"/>
      <c r="Q263" s="115"/>
      <c r="R263" s="115"/>
      <c r="S263" s="115"/>
      <c r="T263" s="115"/>
      <c r="U263" s="115"/>
      <c r="V263" s="115"/>
      <c r="W263" s="115"/>
    </row>
    <row r="264" spans="7:23" s="39" customFormat="1" x14ac:dyDescent="0.2">
      <c r="G264" s="115"/>
      <c r="H264" s="115"/>
      <c r="I264" s="115"/>
      <c r="J264" s="115"/>
      <c r="K264" s="115"/>
      <c r="L264" s="115"/>
      <c r="M264" s="115"/>
      <c r="N264" s="115"/>
      <c r="O264" s="115"/>
      <c r="P264" s="115"/>
      <c r="Q264" s="115"/>
      <c r="R264" s="115"/>
      <c r="S264" s="115"/>
      <c r="T264" s="115"/>
      <c r="U264" s="115"/>
      <c r="V264" s="115"/>
      <c r="W264" s="115"/>
    </row>
    <row r="265" spans="7:23" s="39" customFormat="1" x14ac:dyDescent="0.2">
      <c r="G265" s="115"/>
      <c r="H265" s="115"/>
      <c r="I265" s="115"/>
      <c r="J265" s="115"/>
      <c r="K265" s="115"/>
      <c r="L265" s="115"/>
      <c r="M265" s="115"/>
      <c r="N265" s="115"/>
      <c r="O265" s="115"/>
      <c r="P265" s="115"/>
      <c r="Q265" s="115"/>
      <c r="R265" s="115"/>
      <c r="S265" s="115"/>
      <c r="T265" s="115"/>
      <c r="U265" s="115"/>
      <c r="V265" s="115"/>
      <c r="W265" s="115"/>
    </row>
    <row r="266" spans="7:23" s="39" customFormat="1" x14ac:dyDescent="0.2">
      <c r="G266" s="115"/>
      <c r="H266" s="115"/>
      <c r="I266" s="115"/>
      <c r="J266" s="115"/>
      <c r="K266" s="115"/>
      <c r="L266" s="115"/>
      <c r="M266" s="115"/>
      <c r="N266" s="115"/>
      <c r="O266" s="115"/>
      <c r="P266" s="115"/>
      <c r="Q266" s="115"/>
      <c r="R266" s="115"/>
      <c r="S266" s="115"/>
      <c r="T266" s="115"/>
      <c r="U266" s="115"/>
      <c r="V266" s="115"/>
      <c r="W266" s="115"/>
    </row>
    <row r="267" spans="7:23" s="39" customFormat="1" x14ac:dyDescent="0.2">
      <c r="G267" s="115"/>
      <c r="H267" s="115"/>
      <c r="I267" s="115"/>
      <c r="J267" s="115"/>
      <c r="K267" s="115"/>
      <c r="L267" s="115"/>
      <c r="M267" s="115"/>
      <c r="N267" s="115"/>
      <c r="O267" s="115"/>
      <c r="P267" s="115"/>
      <c r="Q267" s="115"/>
      <c r="R267" s="115"/>
      <c r="S267" s="115"/>
      <c r="T267" s="115"/>
      <c r="U267" s="115"/>
      <c r="V267" s="115"/>
      <c r="W267" s="115"/>
    </row>
    <row r="268" spans="7:23" s="39" customFormat="1" x14ac:dyDescent="0.2">
      <c r="G268" s="115"/>
      <c r="H268" s="115"/>
      <c r="I268" s="115"/>
      <c r="J268" s="115"/>
      <c r="K268" s="115"/>
      <c r="L268" s="115"/>
      <c r="M268" s="115"/>
      <c r="N268" s="115"/>
      <c r="O268" s="115"/>
      <c r="P268" s="115"/>
      <c r="Q268" s="115"/>
      <c r="R268" s="115"/>
      <c r="S268" s="115"/>
      <c r="T268" s="115"/>
      <c r="U268" s="115"/>
      <c r="V268" s="115"/>
      <c r="W268" s="115"/>
    </row>
    <row r="269" spans="7:23" s="39" customFormat="1" x14ac:dyDescent="0.2">
      <c r="G269" s="115"/>
      <c r="H269" s="115"/>
      <c r="I269" s="115"/>
      <c r="J269" s="115"/>
      <c r="K269" s="115"/>
      <c r="L269" s="115"/>
      <c r="M269" s="115"/>
      <c r="N269" s="115"/>
      <c r="O269" s="115"/>
      <c r="P269" s="115"/>
      <c r="Q269" s="115"/>
      <c r="R269" s="115"/>
      <c r="S269" s="115"/>
      <c r="T269" s="115"/>
      <c r="U269" s="115"/>
      <c r="V269" s="115"/>
      <c r="W269" s="115"/>
    </row>
    <row r="270" spans="7:23" s="39" customFormat="1" x14ac:dyDescent="0.2">
      <c r="G270" s="115"/>
      <c r="H270" s="115"/>
      <c r="I270" s="115"/>
      <c r="J270" s="115"/>
      <c r="K270" s="115"/>
      <c r="L270" s="115"/>
      <c r="M270" s="115"/>
      <c r="N270" s="115"/>
      <c r="O270" s="115"/>
      <c r="P270" s="115"/>
      <c r="Q270" s="115"/>
      <c r="R270" s="115"/>
      <c r="S270" s="115"/>
      <c r="T270" s="115"/>
      <c r="U270" s="115"/>
      <c r="V270" s="115"/>
      <c r="W270" s="115"/>
    </row>
    <row r="271" spans="7:23" s="39" customFormat="1" x14ac:dyDescent="0.2">
      <c r="G271" s="115"/>
      <c r="H271" s="115"/>
      <c r="I271" s="115"/>
      <c r="J271" s="115"/>
      <c r="K271" s="115"/>
      <c r="L271" s="115"/>
      <c r="M271" s="115"/>
      <c r="N271" s="115"/>
      <c r="O271" s="115"/>
      <c r="P271" s="115"/>
      <c r="Q271" s="115"/>
      <c r="R271" s="115"/>
      <c r="S271" s="115"/>
      <c r="T271" s="115"/>
      <c r="U271" s="115"/>
      <c r="V271" s="115"/>
      <c r="W271" s="115"/>
    </row>
    <row r="272" spans="7:23" s="39" customFormat="1" x14ac:dyDescent="0.2">
      <c r="G272" s="115"/>
      <c r="H272" s="115"/>
      <c r="I272" s="115"/>
      <c r="J272" s="115"/>
      <c r="K272" s="115"/>
      <c r="L272" s="115"/>
      <c r="M272" s="115"/>
      <c r="N272" s="115"/>
      <c r="O272" s="115"/>
      <c r="P272" s="115"/>
      <c r="Q272" s="115"/>
      <c r="R272" s="115"/>
      <c r="S272" s="115"/>
      <c r="T272" s="115"/>
      <c r="U272" s="115"/>
      <c r="V272" s="115"/>
      <c r="W272" s="115"/>
    </row>
    <row r="273" spans="7:23" s="39" customFormat="1" x14ac:dyDescent="0.2">
      <c r="G273" s="115"/>
      <c r="H273" s="115"/>
      <c r="I273" s="115"/>
      <c r="J273" s="115"/>
      <c r="K273" s="115"/>
      <c r="L273" s="115"/>
      <c r="M273" s="115"/>
      <c r="N273" s="115"/>
      <c r="O273" s="115"/>
      <c r="P273" s="115"/>
      <c r="Q273" s="115"/>
      <c r="R273" s="115"/>
      <c r="S273" s="115"/>
      <c r="T273" s="115"/>
      <c r="U273" s="115"/>
      <c r="V273" s="115"/>
      <c r="W273" s="115"/>
    </row>
    <row r="274" spans="7:23" s="39" customFormat="1" x14ac:dyDescent="0.2">
      <c r="G274" s="115"/>
      <c r="H274" s="115"/>
      <c r="I274" s="115"/>
      <c r="J274" s="115"/>
      <c r="K274" s="115"/>
      <c r="L274" s="115"/>
      <c r="M274" s="115"/>
      <c r="N274" s="115"/>
      <c r="O274" s="115"/>
      <c r="P274" s="115"/>
      <c r="Q274" s="115"/>
      <c r="R274" s="115"/>
      <c r="S274" s="115"/>
      <c r="T274" s="115"/>
      <c r="U274" s="115"/>
      <c r="V274" s="115"/>
      <c r="W274" s="115"/>
    </row>
    <row r="275" spans="7:23" s="39" customFormat="1" x14ac:dyDescent="0.2">
      <c r="G275" s="115"/>
      <c r="H275" s="115"/>
      <c r="I275" s="115"/>
      <c r="J275" s="115"/>
      <c r="K275" s="115"/>
      <c r="L275" s="115"/>
      <c r="M275" s="115"/>
      <c r="N275" s="115"/>
      <c r="O275" s="115"/>
      <c r="P275" s="115"/>
      <c r="Q275" s="115"/>
      <c r="R275" s="115"/>
      <c r="S275" s="115"/>
      <c r="T275" s="115"/>
      <c r="U275" s="115"/>
      <c r="V275" s="115"/>
      <c r="W275" s="115"/>
    </row>
    <row r="276" spans="7:23" s="39" customFormat="1" x14ac:dyDescent="0.2">
      <c r="G276" s="115"/>
      <c r="H276" s="115"/>
      <c r="I276" s="115"/>
      <c r="J276" s="115"/>
      <c r="K276" s="115"/>
      <c r="L276" s="115"/>
      <c r="M276" s="115"/>
      <c r="N276" s="115"/>
      <c r="O276" s="115"/>
      <c r="P276" s="115"/>
      <c r="Q276" s="115"/>
      <c r="R276" s="115"/>
      <c r="S276" s="115"/>
      <c r="T276" s="115"/>
      <c r="U276" s="115"/>
      <c r="V276" s="115"/>
      <c r="W276" s="115"/>
    </row>
    <row r="277" spans="7:23" s="39" customFormat="1" x14ac:dyDescent="0.2">
      <c r="G277" s="115"/>
      <c r="H277" s="115"/>
      <c r="I277" s="115"/>
      <c r="J277" s="115"/>
      <c r="K277" s="115"/>
      <c r="L277" s="115"/>
      <c r="M277" s="115"/>
      <c r="N277" s="115"/>
      <c r="O277" s="115"/>
      <c r="P277" s="115"/>
      <c r="Q277" s="115"/>
      <c r="R277" s="115"/>
      <c r="S277" s="115"/>
      <c r="T277" s="115"/>
      <c r="U277" s="115"/>
      <c r="V277" s="115"/>
      <c r="W277" s="115"/>
    </row>
    <row r="278" spans="7:23" s="39" customFormat="1" x14ac:dyDescent="0.2">
      <c r="G278" s="115"/>
      <c r="H278" s="115"/>
      <c r="I278" s="115"/>
      <c r="J278" s="115"/>
      <c r="K278" s="115"/>
      <c r="L278" s="115"/>
      <c r="M278" s="115"/>
      <c r="N278" s="115"/>
      <c r="O278" s="115"/>
      <c r="P278" s="115"/>
      <c r="Q278" s="115"/>
      <c r="R278" s="115"/>
      <c r="S278" s="115"/>
      <c r="T278" s="115"/>
      <c r="U278" s="115"/>
      <c r="V278" s="115"/>
      <c r="W278" s="115"/>
    </row>
    <row r="279" spans="7:23" s="39" customFormat="1" x14ac:dyDescent="0.2">
      <c r="G279" s="115"/>
      <c r="H279" s="115"/>
      <c r="I279" s="115"/>
      <c r="J279" s="115"/>
      <c r="K279" s="115"/>
      <c r="L279" s="115"/>
      <c r="M279" s="115"/>
      <c r="N279" s="115"/>
      <c r="O279" s="115"/>
      <c r="P279" s="115"/>
      <c r="Q279" s="115"/>
      <c r="R279" s="115"/>
      <c r="S279" s="115"/>
      <c r="T279" s="115"/>
      <c r="U279" s="115"/>
      <c r="V279" s="115"/>
      <c r="W279" s="115"/>
    </row>
    <row r="280" spans="7:23" s="39" customFormat="1" x14ac:dyDescent="0.2">
      <c r="G280" s="115"/>
      <c r="H280" s="115"/>
      <c r="I280" s="115"/>
      <c r="J280" s="115"/>
      <c r="K280" s="115"/>
      <c r="L280" s="115"/>
      <c r="M280" s="115"/>
      <c r="N280" s="115"/>
      <c r="O280" s="115"/>
      <c r="P280" s="115"/>
      <c r="Q280" s="115"/>
      <c r="R280" s="115"/>
      <c r="S280" s="115"/>
      <c r="T280" s="115"/>
      <c r="U280" s="115"/>
      <c r="V280" s="115"/>
      <c r="W280" s="115"/>
    </row>
    <row r="281" spans="7:23" s="39" customFormat="1" x14ac:dyDescent="0.2">
      <c r="G281" s="115"/>
      <c r="H281" s="115"/>
      <c r="I281" s="115"/>
      <c r="J281" s="115"/>
      <c r="K281" s="115"/>
      <c r="L281" s="115"/>
      <c r="M281" s="115"/>
      <c r="N281" s="115"/>
      <c r="O281" s="115"/>
      <c r="P281" s="115"/>
      <c r="Q281" s="115"/>
      <c r="R281" s="115"/>
      <c r="S281" s="115"/>
      <c r="T281" s="115"/>
      <c r="U281" s="115"/>
      <c r="V281" s="115"/>
      <c r="W281" s="115"/>
    </row>
    <row r="282" spans="7:23" s="39" customFormat="1" x14ac:dyDescent="0.2">
      <c r="G282" s="115"/>
      <c r="H282" s="115"/>
      <c r="I282" s="115"/>
      <c r="J282" s="115"/>
      <c r="K282" s="115"/>
      <c r="L282" s="115"/>
      <c r="M282" s="115"/>
      <c r="N282" s="115"/>
      <c r="O282" s="115"/>
      <c r="P282" s="115"/>
      <c r="Q282" s="115"/>
      <c r="R282" s="115"/>
      <c r="S282" s="115"/>
      <c r="T282" s="115"/>
      <c r="U282" s="115"/>
      <c r="V282" s="115"/>
      <c r="W282" s="115"/>
    </row>
    <row r="283" spans="7:23" s="39" customFormat="1" x14ac:dyDescent="0.2">
      <c r="G283" s="115"/>
      <c r="H283" s="115"/>
      <c r="I283" s="115"/>
      <c r="J283" s="115"/>
      <c r="K283" s="115"/>
      <c r="L283" s="115"/>
      <c r="M283" s="115"/>
      <c r="N283" s="115"/>
      <c r="O283" s="115"/>
      <c r="P283" s="115"/>
      <c r="Q283" s="115"/>
      <c r="R283" s="115"/>
      <c r="S283" s="115"/>
      <c r="T283" s="115"/>
      <c r="U283" s="115"/>
      <c r="V283" s="115"/>
      <c r="W283" s="115"/>
    </row>
    <row r="284" spans="7:23" s="39" customFormat="1" x14ac:dyDescent="0.2">
      <c r="G284" s="115"/>
      <c r="H284" s="115"/>
      <c r="I284" s="115"/>
      <c r="J284" s="115"/>
      <c r="K284" s="115"/>
      <c r="L284" s="115"/>
      <c r="M284" s="115"/>
      <c r="N284" s="115"/>
      <c r="O284" s="115"/>
      <c r="P284" s="115"/>
      <c r="Q284" s="115"/>
      <c r="R284" s="115"/>
      <c r="S284" s="115"/>
      <c r="T284" s="115"/>
      <c r="U284" s="115"/>
      <c r="V284" s="115"/>
      <c r="W284" s="115"/>
    </row>
    <row r="285" spans="7:23" s="39" customFormat="1" x14ac:dyDescent="0.2">
      <c r="G285" s="115"/>
      <c r="H285" s="115"/>
      <c r="I285" s="115"/>
      <c r="J285" s="115"/>
      <c r="K285" s="115"/>
      <c r="L285" s="115"/>
      <c r="M285" s="115"/>
      <c r="N285" s="115"/>
      <c r="O285" s="115"/>
      <c r="P285" s="115"/>
      <c r="Q285" s="115"/>
      <c r="R285" s="115"/>
      <c r="S285" s="115"/>
      <c r="T285" s="115"/>
      <c r="U285" s="115"/>
      <c r="V285" s="115"/>
      <c r="W285" s="115"/>
    </row>
    <row r="286" spans="7:23" s="39" customFormat="1" x14ac:dyDescent="0.2">
      <c r="G286" s="115"/>
      <c r="H286" s="115"/>
      <c r="I286" s="115"/>
      <c r="J286" s="115"/>
      <c r="K286" s="115"/>
      <c r="L286" s="115"/>
      <c r="M286" s="115"/>
      <c r="N286" s="115"/>
      <c r="O286" s="115"/>
      <c r="P286" s="115"/>
      <c r="Q286" s="115"/>
      <c r="R286" s="115"/>
      <c r="S286" s="115"/>
      <c r="T286" s="115"/>
      <c r="U286" s="115"/>
      <c r="V286" s="115"/>
      <c r="W286" s="115"/>
    </row>
    <row r="287" spans="7:23" s="39" customFormat="1" x14ac:dyDescent="0.2">
      <c r="G287" s="115"/>
      <c r="H287" s="115"/>
      <c r="I287" s="115"/>
      <c r="J287" s="115"/>
      <c r="K287" s="115"/>
      <c r="L287" s="115"/>
      <c r="M287" s="115"/>
      <c r="N287" s="115"/>
      <c r="O287" s="115"/>
      <c r="P287" s="115"/>
      <c r="Q287" s="115"/>
      <c r="R287" s="115"/>
      <c r="S287" s="115"/>
      <c r="T287" s="115"/>
      <c r="U287" s="115"/>
      <c r="V287" s="115"/>
      <c r="W287" s="115"/>
    </row>
    <row r="288" spans="7:23" s="39" customFormat="1" x14ac:dyDescent="0.2">
      <c r="G288" s="115"/>
      <c r="H288" s="115"/>
      <c r="I288" s="115"/>
      <c r="J288" s="115"/>
      <c r="K288" s="115"/>
      <c r="L288" s="115"/>
      <c r="M288" s="115"/>
      <c r="N288" s="115"/>
      <c r="O288" s="115"/>
      <c r="P288" s="115"/>
      <c r="Q288" s="115"/>
      <c r="R288" s="115"/>
      <c r="S288" s="115"/>
      <c r="T288" s="115"/>
      <c r="U288" s="115"/>
      <c r="V288" s="115"/>
      <c r="W288" s="115"/>
    </row>
    <row r="289" spans="7:23" s="39" customFormat="1" x14ac:dyDescent="0.2">
      <c r="G289" s="115"/>
      <c r="H289" s="115"/>
      <c r="I289" s="115"/>
      <c r="J289" s="115"/>
      <c r="K289" s="115"/>
      <c r="L289" s="115"/>
      <c r="M289" s="115"/>
      <c r="N289" s="115"/>
      <c r="O289" s="115"/>
      <c r="P289" s="115"/>
      <c r="Q289" s="115"/>
      <c r="R289" s="115"/>
      <c r="S289" s="115"/>
      <c r="T289" s="115"/>
      <c r="U289" s="115"/>
      <c r="V289" s="115"/>
      <c r="W289" s="115"/>
    </row>
    <row r="290" spans="7:23" s="39" customFormat="1" x14ac:dyDescent="0.2">
      <c r="G290" s="115"/>
      <c r="H290" s="115"/>
      <c r="I290" s="115"/>
      <c r="J290" s="115"/>
      <c r="K290" s="115"/>
      <c r="L290" s="115"/>
      <c r="M290" s="115"/>
      <c r="N290" s="115"/>
      <c r="O290" s="115"/>
      <c r="P290" s="115"/>
      <c r="Q290" s="115"/>
      <c r="R290" s="115"/>
      <c r="S290" s="115"/>
      <c r="T290" s="115"/>
      <c r="U290" s="115"/>
      <c r="V290" s="115"/>
      <c r="W290" s="115"/>
    </row>
    <row r="291" spans="7:23" s="39" customFormat="1" x14ac:dyDescent="0.2">
      <c r="G291" s="115"/>
      <c r="H291" s="115"/>
      <c r="I291" s="115"/>
      <c r="J291" s="115"/>
      <c r="K291" s="115"/>
      <c r="L291" s="115"/>
      <c r="M291" s="115"/>
      <c r="N291" s="115"/>
      <c r="O291" s="115"/>
      <c r="P291" s="115"/>
      <c r="Q291" s="115"/>
      <c r="R291" s="115"/>
      <c r="S291" s="115"/>
      <c r="T291" s="115"/>
      <c r="U291" s="115"/>
      <c r="V291" s="115"/>
      <c r="W291" s="115"/>
    </row>
    <row r="292" spans="7:23" s="39" customFormat="1" x14ac:dyDescent="0.2">
      <c r="G292" s="115"/>
      <c r="H292" s="115"/>
      <c r="I292" s="115"/>
      <c r="J292" s="115"/>
      <c r="K292" s="115"/>
      <c r="L292" s="115"/>
      <c r="M292" s="115"/>
      <c r="N292" s="115"/>
      <c r="O292" s="115"/>
      <c r="P292" s="115"/>
      <c r="Q292" s="115"/>
      <c r="R292" s="115"/>
      <c r="S292" s="115"/>
      <c r="T292" s="115"/>
      <c r="U292" s="115"/>
      <c r="V292" s="115"/>
      <c r="W292" s="115"/>
    </row>
    <row r="293" spans="7:23" s="39" customFormat="1" x14ac:dyDescent="0.2">
      <c r="G293" s="115"/>
      <c r="H293" s="115"/>
      <c r="I293" s="115"/>
      <c r="J293" s="115"/>
      <c r="K293" s="115"/>
      <c r="L293" s="115"/>
      <c r="M293" s="115"/>
      <c r="N293" s="115"/>
      <c r="O293" s="115"/>
      <c r="P293" s="115"/>
      <c r="Q293" s="115"/>
      <c r="R293" s="115"/>
      <c r="S293" s="115"/>
      <c r="T293" s="115"/>
      <c r="U293" s="115"/>
      <c r="V293" s="115"/>
      <c r="W293" s="115"/>
    </row>
    <row r="294" spans="7:23" s="39" customFormat="1" x14ac:dyDescent="0.2">
      <c r="G294" s="115"/>
      <c r="H294" s="115"/>
      <c r="I294" s="115"/>
      <c r="J294" s="115"/>
      <c r="K294" s="115"/>
      <c r="L294" s="115"/>
      <c r="M294" s="115"/>
      <c r="N294" s="115"/>
      <c r="O294" s="115"/>
      <c r="P294" s="115"/>
      <c r="Q294" s="115"/>
      <c r="R294" s="115"/>
      <c r="S294" s="115"/>
      <c r="T294" s="115"/>
      <c r="U294" s="115"/>
      <c r="V294" s="115"/>
      <c r="W294" s="115"/>
    </row>
    <row r="295" spans="7:23" s="39" customFormat="1" x14ac:dyDescent="0.2">
      <c r="G295" s="115"/>
      <c r="H295" s="115"/>
      <c r="I295" s="115"/>
      <c r="J295" s="115"/>
      <c r="K295" s="115"/>
      <c r="L295" s="115"/>
      <c r="M295" s="115"/>
      <c r="N295" s="115"/>
      <c r="O295" s="115"/>
      <c r="P295" s="115"/>
      <c r="Q295" s="115"/>
      <c r="R295" s="115"/>
      <c r="S295" s="115"/>
      <c r="T295" s="115"/>
      <c r="U295" s="115"/>
      <c r="V295" s="115"/>
      <c r="W295" s="115"/>
    </row>
    <row r="296" spans="7:23" s="39" customFormat="1" x14ac:dyDescent="0.2">
      <c r="G296" s="115"/>
      <c r="H296" s="115"/>
      <c r="I296" s="115"/>
      <c r="J296" s="115"/>
      <c r="K296" s="115"/>
      <c r="L296" s="115"/>
      <c r="M296" s="115"/>
      <c r="N296" s="115"/>
      <c r="O296" s="115"/>
      <c r="P296" s="115"/>
      <c r="Q296" s="115"/>
      <c r="R296" s="115"/>
      <c r="S296" s="115"/>
      <c r="T296" s="115"/>
      <c r="U296" s="115"/>
      <c r="V296" s="115"/>
      <c r="W296" s="115"/>
    </row>
    <row r="297" spans="7:23" s="39" customFormat="1" x14ac:dyDescent="0.2">
      <c r="G297" s="115"/>
      <c r="H297" s="115"/>
      <c r="I297" s="115"/>
      <c r="J297" s="115"/>
      <c r="K297" s="115"/>
      <c r="L297" s="115"/>
      <c r="M297" s="115"/>
      <c r="N297" s="115"/>
      <c r="O297" s="115"/>
      <c r="P297" s="115"/>
      <c r="Q297" s="115"/>
      <c r="R297" s="115"/>
      <c r="S297" s="115"/>
      <c r="T297" s="115"/>
      <c r="U297" s="115"/>
      <c r="V297" s="115"/>
      <c r="W297" s="115"/>
    </row>
    <row r="298" spans="7:23" s="39" customFormat="1" x14ac:dyDescent="0.2">
      <c r="G298" s="115"/>
      <c r="H298" s="115"/>
      <c r="I298" s="115"/>
      <c r="J298" s="115"/>
      <c r="K298" s="115"/>
      <c r="L298" s="115"/>
      <c r="M298" s="115"/>
      <c r="N298" s="115"/>
      <c r="O298" s="115"/>
      <c r="P298" s="115"/>
      <c r="Q298" s="115"/>
      <c r="R298" s="115"/>
      <c r="S298" s="115"/>
      <c r="T298" s="115"/>
      <c r="U298" s="115"/>
      <c r="V298" s="115"/>
      <c r="W298" s="115"/>
    </row>
    <row r="299" spans="7:23" s="39" customFormat="1" x14ac:dyDescent="0.2">
      <c r="G299" s="115"/>
      <c r="H299" s="115"/>
      <c r="I299" s="115"/>
      <c r="J299" s="115"/>
      <c r="K299" s="115"/>
      <c r="L299" s="115"/>
      <c r="M299" s="115"/>
      <c r="N299" s="115"/>
      <c r="O299" s="115"/>
      <c r="P299" s="115"/>
      <c r="Q299" s="115"/>
      <c r="R299" s="115"/>
      <c r="S299" s="115"/>
      <c r="T299" s="115"/>
      <c r="U299" s="115"/>
      <c r="V299" s="115"/>
      <c r="W299" s="115"/>
    </row>
    <row r="300" spans="7:23" s="39" customFormat="1" x14ac:dyDescent="0.2">
      <c r="G300" s="115"/>
      <c r="H300" s="115"/>
      <c r="I300" s="115"/>
      <c r="J300" s="115"/>
      <c r="K300" s="115"/>
      <c r="L300" s="115"/>
      <c r="M300" s="115"/>
      <c r="N300" s="115"/>
      <c r="O300" s="115"/>
      <c r="P300" s="115"/>
      <c r="Q300" s="115"/>
      <c r="R300" s="115"/>
      <c r="S300" s="115"/>
      <c r="T300" s="115"/>
      <c r="U300" s="115"/>
      <c r="V300" s="115"/>
      <c r="W300" s="115"/>
    </row>
    <row r="301" spans="7:23" s="39" customFormat="1" x14ac:dyDescent="0.2">
      <c r="G301" s="115"/>
      <c r="H301" s="115"/>
      <c r="I301" s="115"/>
      <c r="J301" s="115"/>
      <c r="K301" s="115"/>
      <c r="L301" s="115"/>
      <c r="M301" s="115"/>
      <c r="N301" s="115"/>
      <c r="O301" s="115"/>
      <c r="P301" s="115"/>
      <c r="Q301" s="115"/>
      <c r="R301" s="115"/>
      <c r="S301" s="115"/>
      <c r="T301" s="115"/>
      <c r="U301" s="115"/>
      <c r="V301" s="115"/>
      <c r="W301" s="115"/>
    </row>
    <row r="302" spans="7:23" s="39" customFormat="1" x14ac:dyDescent="0.2">
      <c r="G302" s="115"/>
      <c r="H302" s="115"/>
      <c r="I302" s="115"/>
      <c r="J302" s="115"/>
      <c r="K302" s="115"/>
      <c r="L302" s="115"/>
      <c r="M302" s="115"/>
      <c r="N302" s="115"/>
      <c r="O302" s="115"/>
      <c r="P302" s="115"/>
      <c r="Q302" s="115"/>
      <c r="R302" s="115"/>
      <c r="S302" s="115"/>
      <c r="T302" s="115"/>
      <c r="U302" s="115"/>
      <c r="V302" s="115"/>
      <c r="W302" s="115"/>
    </row>
    <row r="303" spans="7:23" s="39" customFormat="1" x14ac:dyDescent="0.2">
      <c r="G303" s="115"/>
      <c r="H303" s="115"/>
      <c r="I303" s="115"/>
      <c r="J303" s="115"/>
      <c r="K303" s="115"/>
      <c r="L303" s="115"/>
      <c r="M303" s="115"/>
      <c r="N303" s="115"/>
      <c r="O303" s="115"/>
      <c r="P303" s="115"/>
      <c r="Q303" s="115"/>
      <c r="R303" s="115"/>
      <c r="S303" s="115"/>
      <c r="T303" s="115"/>
      <c r="U303" s="115"/>
      <c r="V303" s="115"/>
      <c r="W303" s="115"/>
    </row>
    <row r="304" spans="7:23" s="39" customFormat="1" x14ac:dyDescent="0.2">
      <c r="G304" s="115"/>
      <c r="H304" s="115"/>
      <c r="I304" s="115"/>
      <c r="J304" s="115"/>
      <c r="K304" s="115"/>
      <c r="L304" s="115"/>
      <c r="M304" s="115"/>
      <c r="N304" s="115"/>
      <c r="O304" s="115"/>
      <c r="P304" s="115"/>
      <c r="Q304" s="115"/>
      <c r="R304" s="115"/>
      <c r="S304" s="115"/>
      <c r="T304" s="115"/>
      <c r="U304" s="115"/>
      <c r="V304" s="115"/>
      <c r="W304" s="115"/>
    </row>
    <row r="305" spans="6:23" x14ac:dyDescent="0.2">
      <c r="F305" s="16"/>
      <c r="G305" s="56"/>
      <c r="H305" s="56"/>
      <c r="I305" s="56"/>
      <c r="J305" s="56"/>
      <c r="K305" s="56"/>
      <c r="L305" s="56"/>
      <c r="M305" s="56"/>
      <c r="N305" s="56"/>
      <c r="O305" s="56"/>
      <c r="P305" s="56"/>
      <c r="Q305" s="56"/>
      <c r="R305" s="56"/>
      <c r="S305" s="56"/>
      <c r="T305" s="56"/>
      <c r="U305" s="56"/>
      <c r="V305" s="56"/>
      <c r="W305" s="56"/>
    </row>
    <row r="306" spans="6:23" x14ac:dyDescent="0.2">
      <c r="F306" s="16"/>
      <c r="G306" s="56"/>
      <c r="H306" s="56"/>
      <c r="I306" s="56"/>
      <c r="J306" s="56"/>
      <c r="K306" s="56"/>
      <c r="L306" s="56"/>
      <c r="M306" s="56"/>
      <c r="N306" s="56"/>
      <c r="O306" s="56"/>
      <c r="P306" s="56"/>
      <c r="Q306" s="56"/>
      <c r="R306" s="56"/>
      <c r="S306" s="56"/>
      <c r="T306" s="56"/>
      <c r="U306" s="56"/>
      <c r="V306" s="56"/>
      <c r="W306" s="56"/>
    </row>
    <row r="307" spans="6:23" x14ac:dyDescent="0.2">
      <c r="F307" s="16"/>
      <c r="G307" s="56"/>
      <c r="H307" s="56"/>
      <c r="I307" s="56"/>
      <c r="J307" s="56"/>
      <c r="K307" s="56"/>
      <c r="L307" s="56"/>
      <c r="M307" s="56"/>
      <c r="N307" s="56"/>
      <c r="O307" s="56"/>
      <c r="P307" s="56"/>
      <c r="Q307" s="56"/>
      <c r="R307" s="56"/>
      <c r="S307" s="56"/>
      <c r="T307" s="56"/>
      <c r="U307" s="56"/>
      <c r="V307" s="56"/>
      <c r="W307" s="56"/>
    </row>
    <row r="308" spans="6:23" x14ac:dyDescent="0.2">
      <c r="F308" s="16"/>
      <c r="G308" s="56"/>
      <c r="H308" s="56"/>
      <c r="I308" s="56"/>
      <c r="J308" s="56"/>
      <c r="K308" s="56"/>
      <c r="L308" s="56"/>
      <c r="M308" s="56"/>
      <c r="N308" s="56"/>
      <c r="O308" s="56"/>
      <c r="P308" s="56"/>
      <c r="Q308" s="56"/>
      <c r="R308" s="56"/>
      <c r="S308" s="56"/>
      <c r="T308" s="56"/>
      <c r="U308" s="56"/>
      <c r="V308" s="56"/>
      <c r="W308" s="56"/>
    </row>
    <row r="309" spans="6:23" x14ac:dyDescent="0.2">
      <c r="F309" s="16"/>
      <c r="G309" s="56"/>
      <c r="H309" s="56"/>
      <c r="I309" s="56"/>
      <c r="J309" s="56"/>
      <c r="K309" s="56"/>
      <c r="L309" s="56"/>
      <c r="M309" s="56"/>
      <c r="N309" s="56"/>
      <c r="O309" s="56"/>
      <c r="P309" s="56"/>
      <c r="Q309" s="56"/>
      <c r="R309" s="56"/>
      <c r="S309" s="56"/>
      <c r="T309" s="56"/>
      <c r="U309" s="56"/>
      <c r="V309" s="56"/>
      <c r="W309" s="56"/>
    </row>
    <row r="310" spans="6:23" x14ac:dyDescent="0.2">
      <c r="F310" s="16"/>
      <c r="G310" s="56"/>
      <c r="H310" s="56"/>
      <c r="I310" s="56"/>
      <c r="J310" s="56"/>
      <c r="K310" s="56"/>
      <c r="L310" s="56"/>
      <c r="M310" s="56"/>
      <c r="N310" s="56"/>
      <c r="O310" s="56"/>
      <c r="P310" s="56"/>
      <c r="Q310" s="56"/>
      <c r="R310" s="56"/>
      <c r="S310" s="56"/>
      <c r="T310" s="56"/>
      <c r="U310" s="56"/>
      <c r="V310" s="56"/>
      <c r="W310" s="56"/>
    </row>
    <row r="311" spans="6:23" x14ac:dyDescent="0.2">
      <c r="F311" s="16"/>
      <c r="G311" s="56"/>
      <c r="H311" s="56"/>
      <c r="I311" s="56"/>
      <c r="J311" s="56"/>
      <c r="K311" s="56"/>
      <c r="L311" s="56"/>
      <c r="M311" s="56"/>
      <c r="N311" s="56"/>
      <c r="O311" s="56"/>
      <c r="P311" s="56"/>
      <c r="Q311" s="56"/>
      <c r="R311" s="56"/>
      <c r="S311" s="56"/>
      <c r="T311" s="56"/>
      <c r="U311" s="56"/>
      <c r="V311" s="56"/>
      <c r="W311" s="56"/>
    </row>
    <row r="312" spans="6:23" x14ac:dyDescent="0.2">
      <c r="F312" s="16"/>
      <c r="G312" s="56"/>
      <c r="H312" s="56"/>
      <c r="I312" s="56"/>
      <c r="J312" s="56"/>
      <c r="K312" s="56"/>
      <c r="L312" s="56"/>
      <c r="M312" s="56"/>
      <c r="N312" s="56"/>
      <c r="O312" s="56"/>
      <c r="P312" s="56"/>
      <c r="Q312" s="56"/>
      <c r="R312" s="56"/>
      <c r="S312" s="56"/>
      <c r="T312" s="56"/>
      <c r="U312" s="56"/>
      <c r="V312" s="56"/>
      <c r="W312" s="56"/>
    </row>
    <row r="313" spans="6:23" x14ac:dyDescent="0.2">
      <c r="F313" s="16"/>
      <c r="G313" s="56"/>
      <c r="H313" s="56"/>
      <c r="I313" s="56"/>
      <c r="J313" s="56"/>
      <c r="K313" s="56"/>
      <c r="L313" s="56"/>
      <c r="M313" s="56"/>
      <c r="N313" s="56"/>
      <c r="O313" s="56"/>
      <c r="P313" s="56"/>
      <c r="Q313" s="56"/>
      <c r="R313" s="56"/>
      <c r="S313" s="56"/>
      <c r="T313" s="56"/>
      <c r="U313" s="56"/>
      <c r="V313" s="56"/>
      <c r="W313" s="56"/>
    </row>
    <row r="314" spans="6:23" x14ac:dyDescent="0.2">
      <c r="F314" s="16"/>
      <c r="G314" s="56"/>
      <c r="H314" s="56"/>
      <c r="I314" s="56"/>
      <c r="J314" s="56"/>
      <c r="K314" s="56"/>
      <c r="L314" s="56"/>
      <c r="M314" s="56"/>
      <c r="N314" s="56"/>
      <c r="O314" s="56"/>
      <c r="P314" s="56"/>
      <c r="Q314" s="56"/>
      <c r="R314" s="56"/>
      <c r="S314" s="56"/>
      <c r="T314" s="56"/>
      <c r="U314" s="56"/>
      <c r="V314" s="56"/>
      <c r="W314" s="56"/>
    </row>
  </sheetData>
  <mergeCells count="1">
    <mergeCell ref="G6:T6"/>
  </mergeCells>
  <pageMargins left="0.7" right="0.7" top="0.75" bottom="0.75" header="0.3" footer="0.3"/>
  <pageSetup scale="46"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17"/>
  <sheetViews>
    <sheetView tabSelected="1" workbookViewId="0">
      <selection activeCell="L88" sqref="L88"/>
    </sheetView>
  </sheetViews>
  <sheetFormatPr defaultColWidth="8.85546875" defaultRowHeight="12.75" x14ac:dyDescent="0.2"/>
  <cols>
    <col min="1" max="2" width="0.85546875" style="636" customWidth="1"/>
    <col min="3" max="3" width="2.7109375" style="636" customWidth="1"/>
    <col min="4" max="4" width="35.140625" style="636" customWidth="1"/>
    <col min="5" max="5" width="3" style="656" customWidth="1"/>
    <col min="6" max="8" width="15.7109375" style="656" customWidth="1"/>
    <col min="9" max="9" width="15.140625" style="656" customWidth="1"/>
    <col min="10" max="12" width="15.7109375" style="656" customWidth="1"/>
    <col min="13" max="13" width="12.7109375" style="656" hidden="1" customWidth="1"/>
    <col min="14" max="14" width="15.7109375" style="656" hidden="1" customWidth="1"/>
    <col min="15" max="15" width="15.28515625" style="656" hidden="1" customWidth="1"/>
    <col min="16" max="16" width="12.7109375" style="656" hidden="1" customWidth="1"/>
    <col min="17" max="17" width="15.7109375" style="656" hidden="1" customWidth="1"/>
    <col min="18" max="18" width="14.42578125" style="656" hidden="1" customWidth="1"/>
    <col min="19" max="19" width="15.7109375" style="656" customWidth="1"/>
    <col min="20" max="33" width="15.7109375" style="656" hidden="1" customWidth="1"/>
    <col min="34" max="34" width="2" style="636" customWidth="1"/>
    <col min="35" max="35" width="1.7109375" style="636" customWidth="1"/>
    <col min="36" max="36" width="19.85546875" style="636" bestFit="1" customWidth="1"/>
    <col min="37" max="37" width="11" style="636" hidden="1" customWidth="1"/>
    <col min="38" max="38" width="12.5703125" style="636" customWidth="1"/>
    <col min="39" max="256" width="8.85546875" style="636"/>
    <col min="257" max="258" width="0.85546875" style="636" customWidth="1"/>
    <col min="259" max="259" width="2.7109375" style="636" customWidth="1"/>
    <col min="260" max="260" width="35.140625" style="636" customWidth="1"/>
    <col min="261" max="261" width="3" style="636" customWidth="1"/>
    <col min="262" max="262" width="15.7109375" style="636" customWidth="1"/>
    <col min="263" max="267" width="0" style="636" hidden="1" customWidth="1"/>
    <col min="268" max="268" width="15.7109375" style="636" customWidth="1"/>
    <col min="269" max="274" width="0" style="636" hidden="1" customWidth="1"/>
    <col min="275" max="276" width="15.7109375" style="636" customWidth="1"/>
    <col min="277" max="281" width="0" style="636" hidden="1" customWidth="1"/>
    <col min="282" max="282" width="15.7109375" style="636" customWidth="1"/>
    <col min="283" max="288" width="0" style="636" hidden="1" customWidth="1"/>
    <col min="289" max="289" width="15.7109375" style="636" customWidth="1"/>
    <col min="290" max="290" width="2" style="636" customWidth="1"/>
    <col min="291" max="291" width="1.7109375" style="636" customWidth="1"/>
    <col min="292" max="292" width="19.85546875" style="636" bestFit="1" customWidth="1"/>
    <col min="293" max="293" width="0" style="636" hidden="1" customWidth="1"/>
    <col min="294" max="294" width="12.5703125" style="636" customWidth="1"/>
    <col min="295" max="512" width="8.85546875" style="636"/>
    <col min="513" max="514" width="0.85546875" style="636" customWidth="1"/>
    <col min="515" max="515" width="2.7109375" style="636" customWidth="1"/>
    <col min="516" max="516" width="35.140625" style="636" customWidth="1"/>
    <col min="517" max="517" width="3" style="636" customWidth="1"/>
    <col min="518" max="518" width="15.7109375" style="636" customWidth="1"/>
    <col min="519" max="523" width="0" style="636" hidden="1" customWidth="1"/>
    <col min="524" max="524" width="15.7109375" style="636" customWidth="1"/>
    <col min="525" max="530" width="0" style="636" hidden="1" customWidth="1"/>
    <col min="531" max="532" width="15.7109375" style="636" customWidth="1"/>
    <col min="533" max="537" width="0" style="636" hidden="1" customWidth="1"/>
    <col min="538" max="538" width="15.7109375" style="636" customWidth="1"/>
    <col min="539" max="544" width="0" style="636" hidden="1" customWidth="1"/>
    <col min="545" max="545" width="15.7109375" style="636" customWidth="1"/>
    <col min="546" max="546" width="2" style="636" customWidth="1"/>
    <col min="547" max="547" width="1.7109375" style="636" customWidth="1"/>
    <col min="548" max="548" width="19.85546875" style="636" bestFit="1" customWidth="1"/>
    <col min="549" max="549" width="0" style="636" hidden="1" customWidth="1"/>
    <col min="550" max="550" width="12.5703125" style="636" customWidth="1"/>
    <col min="551" max="768" width="8.85546875" style="636"/>
    <col min="769" max="770" width="0.85546875" style="636" customWidth="1"/>
    <col min="771" max="771" width="2.7109375" style="636" customWidth="1"/>
    <col min="772" max="772" width="35.140625" style="636" customWidth="1"/>
    <col min="773" max="773" width="3" style="636" customWidth="1"/>
    <col min="774" max="774" width="15.7109375" style="636" customWidth="1"/>
    <col min="775" max="779" width="0" style="636" hidden="1" customWidth="1"/>
    <col min="780" max="780" width="15.7109375" style="636" customWidth="1"/>
    <col min="781" max="786" width="0" style="636" hidden="1" customWidth="1"/>
    <col min="787" max="788" width="15.7109375" style="636" customWidth="1"/>
    <col min="789" max="793" width="0" style="636" hidden="1" customWidth="1"/>
    <col min="794" max="794" width="15.7109375" style="636" customWidth="1"/>
    <col min="795" max="800" width="0" style="636" hidden="1" customWidth="1"/>
    <col min="801" max="801" width="15.7109375" style="636" customWidth="1"/>
    <col min="802" max="802" width="2" style="636" customWidth="1"/>
    <col min="803" max="803" width="1.7109375" style="636" customWidth="1"/>
    <col min="804" max="804" width="19.85546875" style="636" bestFit="1" customWidth="1"/>
    <col min="805" max="805" width="0" style="636" hidden="1" customWidth="1"/>
    <col min="806" max="806" width="12.5703125" style="636" customWidth="1"/>
    <col min="807" max="1024" width="8.85546875" style="636"/>
    <col min="1025" max="1026" width="0.85546875" style="636" customWidth="1"/>
    <col min="1027" max="1027" width="2.7109375" style="636" customWidth="1"/>
    <col min="1028" max="1028" width="35.140625" style="636" customWidth="1"/>
    <col min="1029" max="1029" width="3" style="636" customWidth="1"/>
    <col min="1030" max="1030" width="15.7109375" style="636" customWidth="1"/>
    <col min="1031" max="1035" width="0" style="636" hidden="1" customWidth="1"/>
    <col min="1036" max="1036" width="15.7109375" style="636" customWidth="1"/>
    <col min="1037" max="1042" width="0" style="636" hidden="1" customWidth="1"/>
    <col min="1043" max="1044" width="15.7109375" style="636" customWidth="1"/>
    <col min="1045" max="1049" width="0" style="636" hidden="1" customWidth="1"/>
    <col min="1050" max="1050" width="15.7109375" style="636" customWidth="1"/>
    <col min="1051" max="1056" width="0" style="636" hidden="1" customWidth="1"/>
    <col min="1057" max="1057" width="15.7109375" style="636" customWidth="1"/>
    <col min="1058" max="1058" width="2" style="636" customWidth="1"/>
    <col min="1059" max="1059" width="1.7109375" style="636" customWidth="1"/>
    <col min="1060" max="1060" width="19.85546875" style="636" bestFit="1" customWidth="1"/>
    <col min="1061" max="1061" width="0" style="636" hidden="1" customWidth="1"/>
    <col min="1062" max="1062" width="12.5703125" style="636" customWidth="1"/>
    <col min="1063" max="1280" width="8.85546875" style="636"/>
    <col min="1281" max="1282" width="0.85546875" style="636" customWidth="1"/>
    <col min="1283" max="1283" width="2.7109375" style="636" customWidth="1"/>
    <col min="1284" max="1284" width="35.140625" style="636" customWidth="1"/>
    <col min="1285" max="1285" width="3" style="636" customWidth="1"/>
    <col min="1286" max="1286" width="15.7109375" style="636" customWidth="1"/>
    <col min="1287" max="1291" width="0" style="636" hidden="1" customWidth="1"/>
    <col min="1292" max="1292" width="15.7109375" style="636" customWidth="1"/>
    <col min="1293" max="1298" width="0" style="636" hidden="1" customWidth="1"/>
    <col min="1299" max="1300" width="15.7109375" style="636" customWidth="1"/>
    <col min="1301" max="1305" width="0" style="636" hidden="1" customWidth="1"/>
    <col min="1306" max="1306" width="15.7109375" style="636" customWidth="1"/>
    <col min="1307" max="1312" width="0" style="636" hidden="1" customWidth="1"/>
    <col min="1313" max="1313" width="15.7109375" style="636" customWidth="1"/>
    <col min="1314" max="1314" width="2" style="636" customWidth="1"/>
    <col min="1315" max="1315" width="1.7109375" style="636" customWidth="1"/>
    <col min="1316" max="1316" width="19.85546875" style="636" bestFit="1" customWidth="1"/>
    <col min="1317" max="1317" width="0" style="636" hidden="1" customWidth="1"/>
    <col min="1318" max="1318" width="12.5703125" style="636" customWidth="1"/>
    <col min="1319" max="1536" width="8.85546875" style="636"/>
    <col min="1537" max="1538" width="0.85546875" style="636" customWidth="1"/>
    <col min="1539" max="1539" width="2.7109375" style="636" customWidth="1"/>
    <col min="1540" max="1540" width="35.140625" style="636" customWidth="1"/>
    <col min="1541" max="1541" width="3" style="636" customWidth="1"/>
    <col min="1542" max="1542" width="15.7109375" style="636" customWidth="1"/>
    <col min="1543" max="1547" width="0" style="636" hidden="1" customWidth="1"/>
    <col min="1548" max="1548" width="15.7109375" style="636" customWidth="1"/>
    <col min="1549" max="1554" width="0" style="636" hidden="1" customWidth="1"/>
    <col min="1555" max="1556" width="15.7109375" style="636" customWidth="1"/>
    <col min="1557" max="1561" width="0" style="636" hidden="1" customWidth="1"/>
    <col min="1562" max="1562" width="15.7109375" style="636" customWidth="1"/>
    <col min="1563" max="1568" width="0" style="636" hidden="1" customWidth="1"/>
    <col min="1569" max="1569" width="15.7109375" style="636" customWidth="1"/>
    <col min="1570" max="1570" width="2" style="636" customWidth="1"/>
    <col min="1571" max="1571" width="1.7109375" style="636" customWidth="1"/>
    <col min="1572" max="1572" width="19.85546875" style="636" bestFit="1" customWidth="1"/>
    <col min="1573" max="1573" width="0" style="636" hidden="1" customWidth="1"/>
    <col min="1574" max="1574" width="12.5703125" style="636" customWidth="1"/>
    <col min="1575" max="1792" width="8.85546875" style="636"/>
    <col min="1793" max="1794" width="0.85546875" style="636" customWidth="1"/>
    <col min="1795" max="1795" width="2.7109375" style="636" customWidth="1"/>
    <col min="1796" max="1796" width="35.140625" style="636" customWidth="1"/>
    <col min="1797" max="1797" width="3" style="636" customWidth="1"/>
    <col min="1798" max="1798" width="15.7109375" style="636" customWidth="1"/>
    <col min="1799" max="1803" width="0" style="636" hidden="1" customWidth="1"/>
    <col min="1804" max="1804" width="15.7109375" style="636" customWidth="1"/>
    <col min="1805" max="1810" width="0" style="636" hidden="1" customWidth="1"/>
    <col min="1811" max="1812" width="15.7109375" style="636" customWidth="1"/>
    <col min="1813" max="1817" width="0" style="636" hidden="1" customWidth="1"/>
    <col min="1818" max="1818" width="15.7109375" style="636" customWidth="1"/>
    <col min="1819" max="1824" width="0" style="636" hidden="1" customWidth="1"/>
    <col min="1825" max="1825" width="15.7109375" style="636" customWidth="1"/>
    <col min="1826" max="1826" width="2" style="636" customWidth="1"/>
    <col min="1827" max="1827" width="1.7109375" style="636" customWidth="1"/>
    <col min="1828" max="1828" width="19.85546875" style="636" bestFit="1" customWidth="1"/>
    <col min="1829" max="1829" width="0" style="636" hidden="1" customWidth="1"/>
    <col min="1830" max="1830" width="12.5703125" style="636" customWidth="1"/>
    <col min="1831" max="2048" width="8.85546875" style="636"/>
    <col min="2049" max="2050" width="0.85546875" style="636" customWidth="1"/>
    <col min="2051" max="2051" width="2.7109375" style="636" customWidth="1"/>
    <col min="2052" max="2052" width="35.140625" style="636" customWidth="1"/>
    <col min="2053" max="2053" width="3" style="636" customWidth="1"/>
    <col min="2054" max="2054" width="15.7109375" style="636" customWidth="1"/>
    <col min="2055" max="2059" width="0" style="636" hidden="1" customWidth="1"/>
    <col min="2060" max="2060" width="15.7109375" style="636" customWidth="1"/>
    <col min="2061" max="2066" width="0" style="636" hidden="1" customWidth="1"/>
    <col min="2067" max="2068" width="15.7109375" style="636" customWidth="1"/>
    <col min="2069" max="2073" width="0" style="636" hidden="1" customWidth="1"/>
    <col min="2074" max="2074" width="15.7109375" style="636" customWidth="1"/>
    <col min="2075" max="2080" width="0" style="636" hidden="1" customWidth="1"/>
    <col min="2081" max="2081" width="15.7109375" style="636" customWidth="1"/>
    <col min="2082" max="2082" width="2" style="636" customWidth="1"/>
    <col min="2083" max="2083" width="1.7109375" style="636" customWidth="1"/>
    <col min="2084" max="2084" width="19.85546875" style="636" bestFit="1" customWidth="1"/>
    <col min="2085" max="2085" width="0" style="636" hidden="1" customWidth="1"/>
    <col min="2086" max="2086" width="12.5703125" style="636" customWidth="1"/>
    <col min="2087" max="2304" width="8.85546875" style="636"/>
    <col min="2305" max="2306" width="0.85546875" style="636" customWidth="1"/>
    <col min="2307" max="2307" width="2.7109375" style="636" customWidth="1"/>
    <col min="2308" max="2308" width="35.140625" style="636" customWidth="1"/>
    <col min="2309" max="2309" width="3" style="636" customWidth="1"/>
    <col min="2310" max="2310" width="15.7109375" style="636" customWidth="1"/>
    <col min="2311" max="2315" width="0" style="636" hidden="1" customWidth="1"/>
    <col min="2316" max="2316" width="15.7109375" style="636" customWidth="1"/>
    <col min="2317" max="2322" width="0" style="636" hidden="1" customWidth="1"/>
    <col min="2323" max="2324" width="15.7109375" style="636" customWidth="1"/>
    <col min="2325" max="2329" width="0" style="636" hidden="1" customWidth="1"/>
    <col min="2330" max="2330" width="15.7109375" style="636" customWidth="1"/>
    <col min="2331" max="2336" width="0" style="636" hidden="1" customWidth="1"/>
    <col min="2337" max="2337" width="15.7109375" style="636" customWidth="1"/>
    <col min="2338" max="2338" width="2" style="636" customWidth="1"/>
    <col min="2339" max="2339" width="1.7109375" style="636" customWidth="1"/>
    <col min="2340" max="2340" width="19.85546875" style="636" bestFit="1" customWidth="1"/>
    <col min="2341" max="2341" width="0" style="636" hidden="1" customWidth="1"/>
    <col min="2342" max="2342" width="12.5703125" style="636" customWidth="1"/>
    <col min="2343" max="2560" width="8.85546875" style="636"/>
    <col min="2561" max="2562" width="0.85546875" style="636" customWidth="1"/>
    <col min="2563" max="2563" width="2.7109375" style="636" customWidth="1"/>
    <col min="2564" max="2564" width="35.140625" style="636" customWidth="1"/>
    <col min="2565" max="2565" width="3" style="636" customWidth="1"/>
    <col min="2566" max="2566" width="15.7109375" style="636" customWidth="1"/>
    <col min="2567" max="2571" width="0" style="636" hidden="1" customWidth="1"/>
    <col min="2572" max="2572" width="15.7109375" style="636" customWidth="1"/>
    <col min="2573" max="2578" width="0" style="636" hidden="1" customWidth="1"/>
    <col min="2579" max="2580" width="15.7109375" style="636" customWidth="1"/>
    <col min="2581" max="2585" width="0" style="636" hidden="1" customWidth="1"/>
    <col min="2586" max="2586" width="15.7109375" style="636" customWidth="1"/>
    <col min="2587" max="2592" width="0" style="636" hidden="1" customWidth="1"/>
    <col min="2593" max="2593" width="15.7109375" style="636" customWidth="1"/>
    <col min="2594" max="2594" width="2" style="636" customWidth="1"/>
    <col min="2595" max="2595" width="1.7109375" style="636" customWidth="1"/>
    <col min="2596" max="2596" width="19.85546875" style="636" bestFit="1" customWidth="1"/>
    <col min="2597" max="2597" width="0" style="636" hidden="1" customWidth="1"/>
    <col min="2598" max="2598" width="12.5703125" style="636" customWidth="1"/>
    <col min="2599" max="2816" width="8.85546875" style="636"/>
    <col min="2817" max="2818" width="0.85546875" style="636" customWidth="1"/>
    <col min="2819" max="2819" width="2.7109375" style="636" customWidth="1"/>
    <col min="2820" max="2820" width="35.140625" style="636" customWidth="1"/>
    <col min="2821" max="2821" width="3" style="636" customWidth="1"/>
    <col min="2822" max="2822" width="15.7109375" style="636" customWidth="1"/>
    <col min="2823" max="2827" width="0" style="636" hidden="1" customWidth="1"/>
    <col min="2828" max="2828" width="15.7109375" style="636" customWidth="1"/>
    <col min="2829" max="2834" width="0" style="636" hidden="1" customWidth="1"/>
    <col min="2835" max="2836" width="15.7109375" style="636" customWidth="1"/>
    <col min="2837" max="2841" width="0" style="636" hidden="1" customWidth="1"/>
    <col min="2842" max="2842" width="15.7109375" style="636" customWidth="1"/>
    <col min="2843" max="2848" width="0" style="636" hidden="1" customWidth="1"/>
    <col min="2849" max="2849" width="15.7109375" style="636" customWidth="1"/>
    <col min="2850" max="2850" width="2" style="636" customWidth="1"/>
    <col min="2851" max="2851" width="1.7109375" style="636" customWidth="1"/>
    <col min="2852" max="2852" width="19.85546875" style="636" bestFit="1" customWidth="1"/>
    <col min="2853" max="2853" width="0" style="636" hidden="1" customWidth="1"/>
    <col min="2854" max="2854" width="12.5703125" style="636" customWidth="1"/>
    <col min="2855" max="3072" width="8.85546875" style="636"/>
    <col min="3073" max="3074" width="0.85546875" style="636" customWidth="1"/>
    <col min="3075" max="3075" width="2.7109375" style="636" customWidth="1"/>
    <col min="3076" max="3076" width="35.140625" style="636" customWidth="1"/>
    <col min="3077" max="3077" width="3" style="636" customWidth="1"/>
    <col min="3078" max="3078" width="15.7109375" style="636" customWidth="1"/>
    <col min="3079" max="3083" width="0" style="636" hidden="1" customWidth="1"/>
    <col min="3084" max="3084" width="15.7109375" style="636" customWidth="1"/>
    <col min="3085" max="3090" width="0" style="636" hidden="1" customWidth="1"/>
    <col min="3091" max="3092" width="15.7109375" style="636" customWidth="1"/>
    <col min="3093" max="3097" width="0" style="636" hidden="1" customWidth="1"/>
    <col min="3098" max="3098" width="15.7109375" style="636" customWidth="1"/>
    <col min="3099" max="3104" width="0" style="636" hidden="1" customWidth="1"/>
    <col min="3105" max="3105" width="15.7109375" style="636" customWidth="1"/>
    <col min="3106" max="3106" width="2" style="636" customWidth="1"/>
    <col min="3107" max="3107" width="1.7109375" style="636" customWidth="1"/>
    <col min="3108" max="3108" width="19.85546875" style="636" bestFit="1" customWidth="1"/>
    <col min="3109" max="3109" width="0" style="636" hidden="1" customWidth="1"/>
    <col min="3110" max="3110" width="12.5703125" style="636" customWidth="1"/>
    <col min="3111" max="3328" width="8.85546875" style="636"/>
    <col min="3329" max="3330" width="0.85546875" style="636" customWidth="1"/>
    <col min="3331" max="3331" width="2.7109375" style="636" customWidth="1"/>
    <col min="3332" max="3332" width="35.140625" style="636" customWidth="1"/>
    <col min="3333" max="3333" width="3" style="636" customWidth="1"/>
    <col min="3334" max="3334" width="15.7109375" style="636" customWidth="1"/>
    <col min="3335" max="3339" width="0" style="636" hidden="1" customWidth="1"/>
    <col min="3340" max="3340" width="15.7109375" style="636" customWidth="1"/>
    <col min="3341" max="3346" width="0" style="636" hidden="1" customWidth="1"/>
    <col min="3347" max="3348" width="15.7109375" style="636" customWidth="1"/>
    <col min="3349" max="3353" width="0" style="636" hidden="1" customWidth="1"/>
    <col min="3354" max="3354" width="15.7109375" style="636" customWidth="1"/>
    <col min="3355" max="3360" width="0" style="636" hidden="1" customWidth="1"/>
    <col min="3361" max="3361" width="15.7109375" style="636" customWidth="1"/>
    <col min="3362" max="3362" width="2" style="636" customWidth="1"/>
    <col min="3363" max="3363" width="1.7109375" style="636" customWidth="1"/>
    <col min="3364" max="3364" width="19.85546875" style="636" bestFit="1" customWidth="1"/>
    <col min="3365" max="3365" width="0" style="636" hidden="1" customWidth="1"/>
    <col min="3366" max="3366" width="12.5703125" style="636" customWidth="1"/>
    <col min="3367" max="3584" width="8.85546875" style="636"/>
    <col min="3585" max="3586" width="0.85546875" style="636" customWidth="1"/>
    <col min="3587" max="3587" width="2.7109375" style="636" customWidth="1"/>
    <col min="3588" max="3588" width="35.140625" style="636" customWidth="1"/>
    <col min="3589" max="3589" width="3" style="636" customWidth="1"/>
    <col min="3590" max="3590" width="15.7109375" style="636" customWidth="1"/>
    <col min="3591" max="3595" width="0" style="636" hidden="1" customWidth="1"/>
    <col min="3596" max="3596" width="15.7109375" style="636" customWidth="1"/>
    <col min="3597" max="3602" width="0" style="636" hidden="1" customWidth="1"/>
    <col min="3603" max="3604" width="15.7109375" style="636" customWidth="1"/>
    <col min="3605" max="3609" width="0" style="636" hidden="1" customWidth="1"/>
    <col min="3610" max="3610" width="15.7109375" style="636" customWidth="1"/>
    <col min="3611" max="3616" width="0" style="636" hidden="1" customWidth="1"/>
    <col min="3617" max="3617" width="15.7109375" style="636" customWidth="1"/>
    <col min="3618" max="3618" width="2" style="636" customWidth="1"/>
    <col min="3619" max="3619" width="1.7109375" style="636" customWidth="1"/>
    <col min="3620" max="3620" width="19.85546875" style="636" bestFit="1" customWidth="1"/>
    <col min="3621" max="3621" width="0" style="636" hidden="1" customWidth="1"/>
    <col min="3622" max="3622" width="12.5703125" style="636" customWidth="1"/>
    <col min="3623" max="3840" width="8.85546875" style="636"/>
    <col min="3841" max="3842" width="0.85546875" style="636" customWidth="1"/>
    <col min="3843" max="3843" width="2.7109375" style="636" customWidth="1"/>
    <col min="3844" max="3844" width="35.140625" style="636" customWidth="1"/>
    <col min="3845" max="3845" width="3" style="636" customWidth="1"/>
    <col min="3846" max="3846" width="15.7109375" style="636" customWidth="1"/>
    <col min="3847" max="3851" width="0" style="636" hidden="1" customWidth="1"/>
    <col min="3852" max="3852" width="15.7109375" style="636" customWidth="1"/>
    <col min="3853" max="3858" width="0" style="636" hidden="1" customWidth="1"/>
    <col min="3859" max="3860" width="15.7109375" style="636" customWidth="1"/>
    <col min="3861" max="3865" width="0" style="636" hidden="1" customWidth="1"/>
    <col min="3866" max="3866" width="15.7109375" style="636" customWidth="1"/>
    <col min="3867" max="3872" width="0" style="636" hidden="1" customWidth="1"/>
    <col min="3873" max="3873" width="15.7109375" style="636" customWidth="1"/>
    <col min="3874" max="3874" width="2" style="636" customWidth="1"/>
    <col min="3875" max="3875" width="1.7109375" style="636" customWidth="1"/>
    <col min="3876" max="3876" width="19.85546875" style="636" bestFit="1" customWidth="1"/>
    <col min="3877" max="3877" width="0" style="636" hidden="1" customWidth="1"/>
    <col min="3878" max="3878" width="12.5703125" style="636" customWidth="1"/>
    <col min="3879" max="4096" width="8.85546875" style="636"/>
    <col min="4097" max="4098" width="0.85546875" style="636" customWidth="1"/>
    <col min="4099" max="4099" width="2.7109375" style="636" customWidth="1"/>
    <col min="4100" max="4100" width="35.140625" style="636" customWidth="1"/>
    <col min="4101" max="4101" width="3" style="636" customWidth="1"/>
    <col min="4102" max="4102" width="15.7109375" style="636" customWidth="1"/>
    <col min="4103" max="4107" width="0" style="636" hidden="1" customWidth="1"/>
    <col min="4108" max="4108" width="15.7109375" style="636" customWidth="1"/>
    <col min="4109" max="4114" width="0" style="636" hidden="1" customWidth="1"/>
    <col min="4115" max="4116" width="15.7109375" style="636" customWidth="1"/>
    <col min="4117" max="4121" width="0" style="636" hidden="1" customWidth="1"/>
    <col min="4122" max="4122" width="15.7109375" style="636" customWidth="1"/>
    <col min="4123" max="4128" width="0" style="636" hidden="1" customWidth="1"/>
    <col min="4129" max="4129" width="15.7109375" style="636" customWidth="1"/>
    <col min="4130" max="4130" width="2" style="636" customWidth="1"/>
    <col min="4131" max="4131" width="1.7109375" style="636" customWidth="1"/>
    <col min="4132" max="4132" width="19.85546875" style="636" bestFit="1" customWidth="1"/>
    <col min="4133" max="4133" width="0" style="636" hidden="1" customWidth="1"/>
    <col min="4134" max="4134" width="12.5703125" style="636" customWidth="1"/>
    <col min="4135" max="4352" width="8.85546875" style="636"/>
    <col min="4353" max="4354" width="0.85546875" style="636" customWidth="1"/>
    <col min="4355" max="4355" width="2.7109375" style="636" customWidth="1"/>
    <col min="4356" max="4356" width="35.140625" style="636" customWidth="1"/>
    <col min="4357" max="4357" width="3" style="636" customWidth="1"/>
    <col min="4358" max="4358" width="15.7109375" style="636" customWidth="1"/>
    <col min="4359" max="4363" width="0" style="636" hidden="1" customWidth="1"/>
    <col min="4364" max="4364" width="15.7109375" style="636" customWidth="1"/>
    <col min="4365" max="4370" width="0" style="636" hidden="1" customWidth="1"/>
    <col min="4371" max="4372" width="15.7109375" style="636" customWidth="1"/>
    <col min="4373" max="4377" width="0" style="636" hidden="1" customWidth="1"/>
    <col min="4378" max="4378" width="15.7109375" style="636" customWidth="1"/>
    <col min="4379" max="4384" width="0" style="636" hidden="1" customWidth="1"/>
    <col min="4385" max="4385" width="15.7109375" style="636" customWidth="1"/>
    <col min="4386" max="4386" width="2" style="636" customWidth="1"/>
    <col min="4387" max="4387" width="1.7109375" style="636" customWidth="1"/>
    <col min="4388" max="4388" width="19.85546875" style="636" bestFit="1" customWidth="1"/>
    <col min="4389" max="4389" width="0" style="636" hidden="1" customWidth="1"/>
    <col min="4390" max="4390" width="12.5703125" style="636" customWidth="1"/>
    <col min="4391" max="4608" width="8.85546875" style="636"/>
    <col min="4609" max="4610" width="0.85546875" style="636" customWidth="1"/>
    <col min="4611" max="4611" width="2.7109375" style="636" customWidth="1"/>
    <col min="4612" max="4612" width="35.140625" style="636" customWidth="1"/>
    <col min="4613" max="4613" width="3" style="636" customWidth="1"/>
    <col min="4614" max="4614" width="15.7109375" style="636" customWidth="1"/>
    <col min="4615" max="4619" width="0" style="636" hidden="1" customWidth="1"/>
    <col min="4620" max="4620" width="15.7109375" style="636" customWidth="1"/>
    <col min="4621" max="4626" width="0" style="636" hidden="1" customWidth="1"/>
    <col min="4627" max="4628" width="15.7109375" style="636" customWidth="1"/>
    <col min="4629" max="4633" width="0" style="636" hidden="1" customWidth="1"/>
    <col min="4634" max="4634" width="15.7109375" style="636" customWidth="1"/>
    <col min="4635" max="4640" width="0" style="636" hidden="1" customWidth="1"/>
    <col min="4641" max="4641" width="15.7109375" style="636" customWidth="1"/>
    <col min="4642" max="4642" width="2" style="636" customWidth="1"/>
    <col min="4643" max="4643" width="1.7109375" style="636" customWidth="1"/>
    <col min="4644" max="4644" width="19.85546875" style="636" bestFit="1" customWidth="1"/>
    <col min="4645" max="4645" width="0" style="636" hidden="1" customWidth="1"/>
    <col min="4646" max="4646" width="12.5703125" style="636" customWidth="1"/>
    <col min="4647" max="4864" width="8.85546875" style="636"/>
    <col min="4865" max="4866" width="0.85546875" style="636" customWidth="1"/>
    <col min="4867" max="4867" width="2.7109375" style="636" customWidth="1"/>
    <col min="4868" max="4868" width="35.140625" style="636" customWidth="1"/>
    <col min="4869" max="4869" width="3" style="636" customWidth="1"/>
    <col min="4870" max="4870" width="15.7109375" style="636" customWidth="1"/>
    <col min="4871" max="4875" width="0" style="636" hidden="1" customWidth="1"/>
    <col min="4876" max="4876" width="15.7109375" style="636" customWidth="1"/>
    <col min="4877" max="4882" width="0" style="636" hidden="1" customWidth="1"/>
    <col min="4883" max="4884" width="15.7109375" style="636" customWidth="1"/>
    <col min="4885" max="4889" width="0" style="636" hidden="1" customWidth="1"/>
    <col min="4890" max="4890" width="15.7109375" style="636" customWidth="1"/>
    <col min="4891" max="4896" width="0" style="636" hidden="1" customWidth="1"/>
    <col min="4897" max="4897" width="15.7109375" style="636" customWidth="1"/>
    <col min="4898" max="4898" width="2" style="636" customWidth="1"/>
    <col min="4899" max="4899" width="1.7109375" style="636" customWidth="1"/>
    <col min="4900" max="4900" width="19.85546875" style="636" bestFit="1" customWidth="1"/>
    <col min="4901" max="4901" width="0" style="636" hidden="1" customWidth="1"/>
    <col min="4902" max="4902" width="12.5703125" style="636" customWidth="1"/>
    <col min="4903" max="5120" width="8.85546875" style="636"/>
    <col min="5121" max="5122" width="0.85546875" style="636" customWidth="1"/>
    <col min="5123" max="5123" width="2.7109375" style="636" customWidth="1"/>
    <col min="5124" max="5124" width="35.140625" style="636" customWidth="1"/>
    <col min="5125" max="5125" width="3" style="636" customWidth="1"/>
    <col min="5126" max="5126" width="15.7109375" style="636" customWidth="1"/>
    <col min="5127" max="5131" width="0" style="636" hidden="1" customWidth="1"/>
    <col min="5132" max="5132" width="15.7109375" style="636" customWidth="1"/>
    <col min="5133" max="5138" width="0" style="636" hidden="1" customWidth="1"/>
    <col min="5139" max="5140" width="15.7109375" style="636" customWidth="1"/>
    <col min="5141" max="5145" width="0" style="636" hidden="1" customWidth="1"/>
    <col min="5146" max="5146" width="15.7109375" style="636" customWidth="1"/>
    <col min="5147" max="5152" width="0" style="636" hidden="1" customWidth="1"/>
    <col min="5153" max="5153" width="15.7109375" style="636" customWidth="1"/>
    <col min="5154" max="5154" width="2" style="636" customWidth="1"/>
    <col min="5155" max="5155" width="1.7109375" style="636" customWidth="1"/>
    <col min="5156" max="5156" width="19.85546875" style="636" bestFit="1" customWidth="1"/>
    <col min="5157" max="5157" width="0" style="636" hidden="1" customWidth="1"/>
    <col min="5158" max="5158" width="12.5703125" style="636" customWidth="1"/>
    <col min="5159" max="5376" width="8.85546875" style="636"/>
    <col min="5377" max="5378" width="0.85546875" style="636" customWidth="1"/>
    <col min="5379" max="5379" width="2.7109375" style="636" customWidth="1"/>
    <col min="5380" max="5380" width="35.140625" style="636" customWidth="1"/>
    <col min="5381" max="5381" width="3" style="636" customWidth="1"/>
    <col min="5382" max="5382" width="15.7109375" style="636" customWidth="1"/>
    <col min="5383" max="5387" width="0" style="636" hidden="1" customWidth="1"/>
    <col min="5388" max="5388" width="15.7109375" style="636" customWidth="1"/>
    <col min="5389" max="5394" width="0" style="636" hidden="1" customWidth="1"/>
    <col min="5395" max="5396" width="15.7109375" style="636" customWidth="1"/>
    <col min="5397" max="5401" width="0" style="636" hidden="1" customWidth="1"/>
    <col min="5402" max="5402" width="15.7109375" style="636" customWidth="1"/>
    <col min="5403" max="5408" width="0" style="636" hidden="1" customWidth="1"/>
    <col min="5409" max="5409" width="15.7109375" style="636" customWidth="1"/>
    <col min="5410" max="5410" width="2" style="636" customWidth="1"/>
    <col min="5411" max="5411" width="1.7109375" style="636" customWidth="1"/>
    <col min="5412" max="5412" width="19.85546875" style="636" bestFit="1" customWidth="1"/>
    <col min="5413" max="5413" width="0" style="636" hidden="1" customWidth="1"/>
    <col min="5414" max="5414" width="12.5703125" style="636" customWidth="1"/>
    <col min="5415" max="5632" width="8.85546875" style="636"/>
    <col min="5633" max="5634" width="0.85546875" style="636" customWidth="1"/>
    <col min="5635" max="5635" width="2.7109375" style="636" customWidth="1"/>
    <col min="5636" max="5636" width="35.140625" style="636" customWidth="1"/>
    <col min="5637" max="5637" width="3" style="636" customWidth="1"/>
    <col min="5638" max="5638" width="15.7109375" style="636" customWidth="1"/>
    <col min="5639" max="5643" width="0" style="636" hidden="1" customWidth="1"/>
    <col min="5644" max="5644" width="15.7109375" style="636" customWidth="1"/>
    <col min="5645" max="5650" width="0" style="636" hidden="1" customWidth="1"/>
    <col min="5651" max="5652" width="15.7109375" style="636" customWidth="1"/>
    <col min="5653" max="5657" width="0" style="636" hidden="1" customWidth="1"/>
    <col min="5658" max="5658" width="15.7109375" style="636" customWidth="1"/>
    <col min="5659" max="5664" width="0" style="636" hidden="1" customWidth="1"/>
    <col min="5665" max="5665" width="15.7109375" style="636" customWidth="1"/>
    <col min="5666" max="5666" width="2" style="636" customWidth="1"/>
    <col min="5667" max="5667" width="1.7109375" style="636" customWidth="1"/>
    <col min="5668" max="5668" width="19.85546875" style="636" bestFit="1" customWidth="1"/>
    <col min="5669" max="5669" width="0" style="636" hidden="1" customWidth="1"/>
    <col min="5670" max="5670" width="12.5703125" style="636" customWidth="1"/>
    <col min="5671" max="5888" width="8.85546875" style="636"/>
    <col min="5889" max="5890" width="0.85546875" style="636" customWidth="1"/>
    <col min="5891" max="5891" width="2.7109375" style="636" customWidth="1"/>
    <col min="5892" max="5892" width="35.140625" style="636" customWidth="1"/>
    <col min="5893" max="5893" width="3" style="636" customWidth="1"/>
    <col min="5894" max="5894" width="15.7109375" style="636" customWidth="1"/>
    <col min="5895" max="5899" width="0" style="636" hidden="1" customWidth="1"/>
    <col min="5900" max="5900" width="15.7109375" style="636" customWidth="1"/>
    <col min="5901" max="5906" width="0" style="636" hidden="1" customWidth="1"/>
    <col min="5907" max="5908" width="15.7109375" style="636" customWidth="1"/>
    <col min="5909" max="5913" width="0" style="636" hidden="1" customWidth="1"/>
    <col min="5914" max="5914" width="15.7109375" style="636" customWidth="1"/>
    <col min="5915" max="5920" width="0" style="636" hidden="1" customWidth="1"/>
    <col min="5921" max="5921" width="15.7109375" style="636" customWidth="1"/>
    <col min="5922" max="5922" width="2" style="636" customWidth="1"/>
    <col min="5923" max="5923" width="1.7109375" style="636" customWidth="1"/>
    <col min="5924" max="5924" width="19.85546875" style="636" bestFit="1" customWidth="1"/>
    <col min="5925" max="5925" width="0" style="636" hidden="1" customWidth="1"/>
    <col min="5926" max="5926" width="12.5703125" style="636" customWidth="1"/>
    <col min="5927" max="6144" width="8.85546875" style="636"/>
    <col min="6145" max="6146" width="0.85546875" style="636" customWidth="1"/>
    <col min="6147" max="6147" width="2.7109375" style="636" customWidth="1"/>
    <col min="6148" max="6148" width="35.140625" style="636" customWidth="1"/>
    <col min="6149" max="6149" width="3" style="636" customWidth="1"/>
    <col min="6150" max="6150" width="15.7109375" style="636" customWidth="1"/>
    <col min="6151" max="6155" width="0" style="636" hidden="1" customWidth="1"/>
    <col min="6156" max="6156" width="15.7109375" style="636" customWidth="1"/>
    <col min="6157" max="6162" width="0" style="636" hidden="1" customWidth="1"/>
    <col min="6163" max="6164" width="15.7109375" style="636" customWidth="1"/>
    <col min="6165" max="6169" width="0" style="636" hidden="1" customWidth="1"/>
    <col min="6170" max="6170" width="15.7109375" style="636" customWidth="1"/>
    <col min="6171" max="6176" width="0" style="636" hidden="1" customWidth="1"/>
    <col min="6177" max="6177" width="15.7109375" style="636" customWidth="1"/>
    <col min="6178" max="6178" width="2" style="636" customWidth="1"/>
    <col min="6179" max="6179" width="1.7109375" style="636" customWidth="1"/>
    <col min="6180" max="6180" width="19.85546875" style="636" bestFit="1" customWidth="1"/>
    <col min="6181" max="6181" width="0" style="636" hidden="1" customWidth="1"/>
    <col min="6182" max="6182" width="12.5703125" style="636" customWidth="1"/>
    <col min="6183" max="6400" width="8.85546875" style="636"/>
    <col min="6401" max="6402" width="0.85546875" style="636" customWidth="1"/>
    <col min="6403" max="6403" width="2.7109375" style="636" customWidth="1"/>
    <col min="6404" max="6404" width="35.140625" style="636" customWidth="1"/>
    <col min="6405" max="6405" width="3" style="636" customWidth="1"/>
    <col min="6406" max="6406" width="15.7109375" style="636" customWidth="1"/>
    <col min="6407" max="6411" width="0" style="636" hidden="1" customWidth="1"/>
    <col min="6412" max="6412" width="15.7109375" style="636" customWidth="1"/>
    <col min="6413" max="6418" width="0" style="636" hidden="1" customWidth="1"/>
    <col min="6419" max="6420" width="15.7109375" style="636" customWidth="1"/>
    <col min="6421" max="6425" width="0" style="636" hidden="1" customWidth="1"/>
    <col min="6426" max="6426" width="15.7109375" style="636" customWidth="1"/>
    <col min="6427" max="6432" width="0" style="636" hidden="1" customWidth="1"/>
    <col min="6433" max="6433" width="15.7109375" style="636" customWidth="1"/>
    <col min="6434" max="6434" width="2" style="636" customWidth="1"/>
    <col min="6435" max="6435" width="1.7109375" style="636" customWidth="1"/>
    <col min="6436" max="6436" width="19.85546875" style="636" bestFit="1" customWidth="1"/>
    <col min="6437" max="6437" width="0" style="636" hidden="1" customWidth="1"/>
    <col min="6438" max="6438" width="12.5703125" style="636" customWidth="1"/>
    <col min="6439" max="6656" width="8.85546875" style="636"/>
    <col min="6657" max="6658" width="0.85546875" style="636" customWidth="1"/>
    <col min="6659" max="6659" width="2.7109375" style="636" customWidth="1"/>
    <col min="6660" max="6660" width="35.140625" style="636" customWidth="1"/>
    <col min="6661" max="6661" width="3" style="636" customWidth="1"/>
    <col min="6662" max="6662" width="15.7109375" style="636" customWidth="1"/>
    <col min="6663" max="6667" width="0" style="636" hidden="1" customWidth="1"/>
    <col min="6668" max="6668" width="15.7109375" style="636" customWidth="1"/>
    <col min="6669" max="6674" width="0" style="636" hidden="1" customWidth="1"/>
    <col min="6675" max="6676" width="15.7109375" style="636" customWidth="1"/>
    <col min="6677" max="6681" width="0" style="636" hidden="1" customWidth="1"/>
    <col min="6682" max="6682" width="15.7109375" style="636" customWidth="1"/>
    <col min="6683" max="6688" width="0" style="636" hidden="1" customWidth="1"/>
    <col min="6689" max="6689" width="15.7109375" style="636" customWidth="1"/>
    <col min="6690" max="6690" width="2" style="636" customWidth="1"/>
    <col min="6691" max="6691" width="1.7109375" style="636" customWidth="1"/>
    <col min="6692" max="6692" width="19.85546875" style="636" bestFit="1" customWidth="1"/>
    <col min="6693" max="6693" width="0" style="636" hidden="1" customWidth="1"/>
    <col min="6694" max="6694" width="12.5703125" style="636" customWidth="1"/>
    <col min="6695" max="6912" width="8.85546875" style="636"/>
    <col min="6913" max="6914" width="0.85546875" style="636" customWidth="1"/>
    <col min="6915" max="6915" width="2.7109375" style="636" customWidth="1"/>
    <col min="6916" max="6916" width="35.140625" style="636" customWidth="1"/>
    <col min="6917" max="6917" width="3" style="636" customWidth="1"/>
    <col min="6918" max="6918" width="15.7109375" style="636" customWidth="1"/>
    <col min="6919" max="6923" width="0" style="636" hidden="1" customWidth="1"/>
    <col min="6924" max="6924" width="15.7109375" style="636" customWidth="1"/>
    <col min="6925" max="6930" width="0" style="636" hidden="1" customWidth="1"/>
    <col min="6931" max="6932" width="15.7109375" style="636" customWidth="1"/>
    <col min="6933" max="6937" width="0" style="636" hidden="1" customWidth="1"/>
    <col min="6938" max="6938" width="15.7109375" style="636" customWidth="1"/>
    <col min="6939" max="6944" width="0" style="636" hidden="1" customWidth="1"/>
    <col min="6945" max="6945" width="15.7109375" style="636" customWidth="1"/>
    <col min="6946" max="6946" width="2" style="636" customWidth="1"/>
    <col min="6947" max="6947" width="1.7109375" style="636" customWidth="1"/>
    <col min="6948" max="6948" width="19.85546875" style="636" bestFit="1" customWidth="1"/>
    <col min="6949" max="6949" width="0" style="636" hidden="1" customWidth="1"/>
    <col min="6950" max="6950" width="12.5703125" style="636" customWidth="1"/>
    <col min="6951" max="7168" width="8.85546875" style="636"/>
    <col min="7169" max="7170" width="0.85546875" style="636" customWidth="1"/>
    <col min="7171" max="7171" width="2.7109375" style="636" customWidth="1"/>
    <col min="7172" max="7172" width="35.140625" style="636" customWidth="1"/>
    <col min="7173" max="7173" width="3" style="636" customWidth="1"/>
    <col min="7174" max="7174" width="15.7109375" style="636" customWidth="1"/>
    <col min="7175" max="7179" width="0" style="636" hidden="1" customWidth="1"/>
    <col min="7180" max="7180" width="15.7109375" style="636" customWidth="1"/>
    <col min="7181" max="7186" width="0" style="636" hidden="1" customWidth="1"/>
    <col min="7187" max="7188" width="15.7109375" style="636" customWidth="1"/>
    <col min="7189" max="7193" width="0" style="636" hidden="1" customWidth="1"/>
    <col min="7194" max="7194" width="15.7109375" style="636" customWidth="1"/>
    <col min="7195" max="7200" width="0" style="636" hidden="1" customWidth="1"/>
    <col min="7201" max="7201" width="15.7109375" style="636" customWidth="1"/>
    <col min="7202" max="7202" width="2" style="636" customWidth="1"/>
    <col min="7203" max="7203" width="1.7109375" style="636" customWidth="1"/>
    <col min="7204" max="7204" width="19.85546875" style="636" bestFit="1" customWidth="1"/>
    <col min="7205" max="7205" width="0" style="636" hidden="1" customWidth="1"/>
    <col min="7206" max="7206" width="12.5703125" style="636" customWidth="1"/>
    <col min="7207" max="7424" width="8.85546875" style="636"/>
    <col min="7425" max="7426" width="0.85546875" style="636" customWidth="1"/>
    <col min="7427" max="7427" width="2.7109375" style="636" customWidth="1"/>
    <col min="7428" max="7428" width="35.140625" style="636" customWidth="1"/>
    <col min="7429" max="7429" width="3" style="636" customWidth="1"/>
    <col min="7430" max="7430" width="15.7109375" style="636" customWidth="1"/>
    <col min="7431" max="7435" width="0" style="636" hidden="1" customWidth="1"/>
    <col min="7436" max="7436" width="15.7109375" style="636" customWidth="1"/>
    <col min="7437" max="7442" width="0" style="636" hidden="1" customWidth="1"/>
    <col min="7443" max="7444" width="15.7109375" style="636" customWidth="1"/>
    <col min="7445" max="7449" width="0" style="636" hidden="1" customWidth="1"/>
    <col min="7450" max="7450" width="15.7109375" style="636" customWidth="1"/>
    <col min="7451" max="7456" width="0" style="636" hidden="1" customWidth="1"/>
    <col min="7457" max="7457" width="15.7109375" style="636" customWidth="1"/>
    <col min="7458" max="7458" width="2" style="636" customWidth="1"/>
    <col min="7459" max="7459" width="1.7109375" style="636" customWidth="1"/>
    <col min="7460" max="7460" width="19.85546875" style="636" bestFit="1" customWidth="1"/>
    <col min="7461" max="7461" width="0" style="636" hidden="1" customWidth="1"/>
    <col min="7462" max="7462" width="12.5703125" style="636" customWidth="1"/>
    <col min="7463" max="7680" width="8.85546875" style="636"/>
    <col min="7681" max="7682" width="0.85546875" style="636" customWidth="1"/>
    <col min="7683" max="7683" width="2.7109375" style="636" customWidth="1"/>
    <col min="7684" max="7684" width="35.140625" style="636" customWidth="1"/>
    <col min="7685" max="7685" width="3" style="636" customWidth="1"/>
    <col min="7686" max="7686" width="15.7109375" style="636" customWidth="1"/>
    <col min="7687" max="7691" width="0" style="636" hidden="1" customWidth="1"/>
    <col min="7692" max="7692" width="15.7109375" style="636" customWidth="1"/>
    <col min="7693" max="7698" width="0" style="636" hidden="1" customWidth="1"/>
    <col min="7699" max="7700" width="15.7109375" style="636" customWidth="1"/>
    <col min="7701" max="7705" width="0" style="636" hidden="1" customWidth="1"/>
    <col min="7706" max="7706" width="15.7109375" style="636" customWidth="1"/>
    <col min="7707" max="7712" width="0" style="636" hidden="1" customWidth="1"/>
    <col min="7713" max="7713" width="15.7109375" style="636" customWidth="1"/>
    <col min="7714" max="7714" width="2" style="636" customWidth="1"/>
    <col min="7715" max="7715" width="1.7109375" style="636" customWidth="1"/>
    <col min="7716" max="7716" width="19.85546875" style="636" bestFit="1" customWidth="1"/>
    <col min="7717" max="7717" width="0" style="636" hidden="1" customWidth="1"/>
    <col min="7718" max="7718" width="12.5703125" style="636" customWidth="1"/>
    <col min="7719" max="7936" width="8.85546875" style="636"/>
    <col min="7937" max="7938" width="0.85546875" style="636" customWidth="1"/>
    <col min="7939" max="7939" width="2.7109375" style="636" customWidth="1"/>
    <col min="7940" max="7940" width="35.140625" style="636" customWidth="1"/>
    <col min="7941" max="7941" width="3" style="636" customWidth="1"/>
    <col min="7942" max="7942" width="15.7109375" style="636" customWidth="1"/>
    <col min="7943" max="7947" width="0" style="636" hidden="1" customWidth="1"/>
    <col min="7948" max="7948" width="15.7109375" style="636" customWidth="1"/>
    <col min="7949" max="7954" width="0" style="636" hidden="1" customWidth="1"/>
    <col min="7955" max="7956" width="15.7109375" style="636" customWidth="1"/>
    <col min="7957" max="7961" width="0" style="636" hidden="1" customWidth="1"/>
    <col min="7962" max="7962" width="15.7109375" style="636" customWidth="1"/>
    <col min="7963" max="7968" width="0" style="636" hidden="1" customWidth="1"/>
    <col min="7969" max="7969" width="15.7109375" style="636" customWidth="1"/>
    <col min="7970" max="7970" width="2" style="636" customWidth="1"/>
    <col min="7971" max="7971" width="1.7109375" style="636" customWidth="1"/>
    <col min="7972" max="7972" width="19.85546875" style="636" bestFit="1" customWidth="1"/>
    <col min="7973" max="7973" width="0" style="636" hidden="1" customWidth="1"/>
    <col min="7974" max="7974" width="12.5703125" style="636" customWidth="1"/>
    <col min="7975" max="8192" width="8.85546875" style="636"/>
    <col min="8193" max="8194" width="0.85546875" style="636" customWidth="1"/>
    <col min="8195" max="8195" width="2.7109375" style="636" customWidth="1"/>
    <col min="8196" max="8196" width="35.140625" style="636" customWidth="1"/>
    <col min="8197" max="8197" width="3" style="636" customWidth="1"/>
    <col min="8198" max="8198" width="15.7109375" style="636" customWidth="1"/>
    <col min="8199" max="8203" width="0" style="636" hidden="1" customWidth="1"/>
    <col min="8204" max="8204" width="15.7109375" style="636" customWidth="1"/>
    <col min="8205" max="8210" width="0" style="636" hidden="1" customWidth="1"/>
    <col min="8211" max="8212" width="15.7109375" style="636" customWidth="1"/>
    <col min="8213" max="8217" width="0" style="636" hidden="1" customWidth="1"/>
    <col min="8218" max="8218" width="15.7109375" style="636" customWidth="1"/>
    <col min="8219" max="8224" width="0" style="636" hidden="1" customWidth="1"/>
    <col min="8225" max="8225" width="15.7109375" style="636" customWidth="1"/>
    <col min="8226" max="8226" width="2" style="636" customWidth="1"/>
    <col min="8227" max="8227" width="1.7109375" style="636" customWidth="1"/>
    <col min="8228" max="8228" width="19.85546875" style="636" bestFit="1" customWidth="1"/>
    <col min="8229" max="8229" width="0" style="636" hidden="1" customWidth="1"/>
    <col min="8230" max="8230" width="12.5703125" style="636" customWidth="1"/>
    <col min="8231" max="8448" width="8.85546875" style="636"/>
    <col min="8449" max="8450" width="0.85546875" style="636" customWidth="1"/>
    <col min="8451" max="8451" width="2.7109375" style="636" customWidth="1"/>
    <col min="8452" max="8452" width="35.140625" style="636" customWidth="1"/>
    <col min="8453" max="8453" width="3" style="636" customWidth="1"/>
    <col min="8454" max="8454" width="15.7109375" style="636" customWidth="1"/>
    <col min="8455" max="8459" width="0" style="636" hidden="1" customWidth="1"/>
    <col min="8460" max="8460" width="15.7109375" style="636" customWidth="1"/>
    <col min="8461" max="8466" width="0" style="636" hidden="1" customWidth="1"/>
    <col min="8467" max="8468" width="15.7109375" style="636" customWidth="1"/>
    <col min="8469" max="8473" width="0" style="636" hidden="1" customWidth="1"/>
    <col min="8474" max="8474" width="15.7109375" style="636" customWidth="1"/>
    <col min="8475" max="8480" width="0" style="636" hidden="1" customWidth="1"/>
    <col min="8481" max="8481" width="15.7109375" style="636" customWidth="1"/>
    <col min="8482" max="8482" width="2" style="636" customWidth="1"/>
    <col min="8483" max="8483" width="1.7109375" style="636" customWidth="1"/>
    <col min="8484" max="8484" width="19.85546875" style="636" bestFit="1" customWidth="1"/>
    <col min="8485" max="8485" width="0" style="636" hidden="1" customWidth="1"/>
    <col min="8486" max="8486" width="12.5703125" style="636" customWidth="1"/>
    <col min="8487" max="8704" width="8.85546875" style="636"/>
    <col min="8705" max="8706" width="0.85546875" style="636" customWidth="1"/>
    <col min="8707" max="8707" width="2.7109375" style="636" customWidth="1"/>
    <col min="8708" max="8708" width="35.140625" style="636" customWidth="1"/>
    <col min="8709" max="8709" width="3" style="636" customWidth="1"/>
    <col min="8710" max="8710" width="15.7109375" style="636" customWidth="1"/>
    <col min="8711" max="8715" width="0" style="636" hidden="1" customWidth="1"/>
    <col min="8716" max="8716" width="15.7109375" style="636" customWidth="1"/>
    <col min="8717" max="8722" width="0" style="636" hidden="1" customWidth="1"/>
    <col min="8723" max="8724" width="15.7109375" style="636" customWidth="1"/>
    <col min="8725" max="8729" width="0" style="636" hidden="1" customWidth="1"/>
    <col min="8730" max="8730" width="15.7109375" style="636" customWidth="1"/>
    <col min="8731" max="8736" width="0" style="636" hidden="1" customWidth="1"/>
    <col min="8737" max="8737" width="15.7109375" style="636" customWidth="1"/>
    <col min="8738" max="8738" width="2" style="636" customWidth="1"/>
    <col min="8739" max="8739" width="1.7109375" style="636" customWidth="1"/>
    <col min="8740" max="8740" width="19.85546875" style="636" bestFit="1" customWidth="1"/>
    <col min="8741" max="8741" width="0" style="636" hidden="1" customWidth="1"/>
    <col min="8742" max="8742" width="12.5703125" style="636" customWidth="1"/>
    <col min="8743" max="8960" width="8.85546875" style="636"/>
    <col min="8961" max="8962" width="0.85546875" style="636" customWidth="1"/>
    <col min="8963" max="8963" width="2.7109375" style="636" customWidth="1"/>
    <col min="8964" max="8964" width="35.140625" style="636" customWidth="1"/>
    <col min="8965" max="8965" width="3" style="636" customWidth="1"/>
    <col min="8966" max="8966" width="15.7109375" style="636" customWidth="1"/>
    <col min="8967" max="8971" width="0" style="636" hidden="1" customWidth="1"/>
    <col min="8972" max="8972" width="15.7109375" style="636" customWidth="1"/>
    <col min="8973" max="8978" width="0" style="636" hidden="1" customWidth="1"/>
    <col min="8979" max="8980" width="15.7109375" style="636" customWidth="1"/>
    <col min="8981" max="8985" width="0" style="636" hidden="1" customWidth="1"/>
    <col min="8986" max="8986" width="15.7109375" style="636" customWidth="1"/>
    <col min="8987" max="8992" width="0" style="636" hidden="1" customWidth="1"/>
    <col min="8993" max="8993" width="15.7109375" style="636" customWidth="1"/>
    <col min="8994" max="8994" width="2" style="636" customWidth="1"/>
    <col min="8995" max="8995" width="1.7109375" style="636" customWidth="1"/>
    <col min="8996" max="8996" width="19.85546875" style="636" bestFit="1" customWidth="1"/>
    <col min="8997" max="8997" width="0" style="636" hidden="1" customWidth="1"/>
    <col min="8998" max="8998" width="12.5703125" style="636" customWidth="1"/>
    <col min="8999" max="9216" width="8.85546875" style="636"/>
    <col min="9217" max="9218" width="0.85546875" style="636" customWidth="1"/>
    <col min="9219" max="9219" width="2.7109375" style="636" customWidth="1"/>
    <col min="9220" max="9220" width="35.140625" style="636" customWidth="1"/>
    <col min="9221" max="9221" width="3" style="636" customWidth="1"/>
    <col min="9222" max="9222" width="15.7109375" style="636" customWidth="1"/>
    <col min="9223" max="9227" width="0" style="636" hidden="1" customWidth="1"/>
    <col min="9228" max="9228" width="15.7109375" style="636" customWidth="1"/>
    <col min="9229" max="9234" width="0" style="636" hidden="1" customWidth="1"/>
    <col min="9235" max="9236" width="15.7109375" style="636" customWidth="1"/>
    <col min="9237" max="9241" width="0" style="636" hidden="1" customWidth="1"/>
    <col min="9242" max="9242" width="15.7109375" style="636" customWidth="1"/>
    <col min="9243" max="9248" width="0" style="636" hidden="1" customWidth="1"/>
    <col min="9249" max="9249" width="15.7109375" style="636" customWidth="1"/>
    <col min="9250" max="9250" width="2" style="636" customWidth="1"/>
    <col min="9251" max="9251" width="1.7109375" style="636" customWidth="1"/>
    <col min="9252" max="9252" width="19.85546875" style="636" bestFit="1" customWidth="1"/>
    <col min="9253" max="9253" width="0" style="636" hidden="1" customWidth="1"/>
    <col min="9254" max="9254" width="12.5703125" style="636" customWidth="1"/>
    <col min="9255" max="9472" width="8.85546875" style="636"/>
    <col min="9473" max="9474" width="0.85546875" style="636" customWidth="1"/>
    <col min="9475" max="9475" width="2.7109375" style="636" customWidth="1"/>
    <col min="9476" max="9476" width="35.140625" style="636" customWidth="1"/>
    <col min="9477" max="9477" width="3" style="636" customWidth="1"/>
    <col min="9478" max="9478" width="15.7109375" style="636" customWidth="1"/>
    <col min="9479" max="9483" width="0" style="636" hidden="1" customWidth="1"/>
    <col min="9484" max="9484" width="15.7109375" style="636" customWidth="1"/>
    <col min="9485" max="9490" width="0" style="636" hidden="1" customWidth="1"/>
    <col min="9491" max="9492" width="15.7109375" style="636" customWidth="1"/>
    <col min="9493" max="9497" width="0" style="636" hidden="1" customWidth="1"/>
    <col min="9498" max="9498" width="15.7109375" style="636" customWidth="1"/>
    <col min="9499" max="9504" width="0" style="636" hidden="1" customWidth="1"/>
    <col min="9505" max="9505" width="15.7109375" style="636" customWidth="1"/>
    <col min="9506" max="9506" width="2" style="636" customWidth="1"/>
    <col min="9507" max="9507" width="1.7109375" style="636" customWidth="1"/>
    <col min="9508" max="9508" width="19.85546875" style="636" bestFit="1" customWidth="1"/>
    <col min="9509" max="9509" width="0" style="636" hidden="1" customWidth="1"/>
    <col min="9510" max="9510" width="12.5703125" style="636" customWidth="1"/>
    <col min="9511" max="9728" width="8.85546875" style="636"/>
    <col min="9729" max="9730" width="0.85546875" style="636" customWidth="1"/>
    <col min="9731" max="9731" width="2.7109375" style="636" customWidth="1"/>
    <col min="9732" max="9732" width="35.140625" style="636" customWidth="1"/>
    <col min="9733" max="9733" width="3" style="636" customWidth="1"/>
    <col min="9734" max="9734" width="15.7109375" style="636" customWidth="1"/>
    <col min="9735" max="9739" width="0" style="636" hidden="1" customWidth="1"/>
    <col min="9740" max="9740" width="15.7109375" style="636" customWidth="1"/>
    <col min="9741" max="9746" width="0" style="636" hidden="1" customWidth="1"/>
    <col min="9747" max="9748" width="15.7109375" style="636" customWidth="1"/>
    <col min="9749" max="9753" width="0" style="636" hidden="1" customWidth="1"/>
    <col min="9754" max="9754" width="15.7109375" style="636" customWidth="1"/>
    <col min="9755" max="9760" width="0" style="636" hidden="1" customWidth="1"/>
    <col min="9761" max="9761" width="15.7109375" style="636" customWidth="1"/>
    <col min="9762" max="9762" width="2" style="636" customWidth="1"/>
    <col min="9763" max="9763" width="1.7109375" style="636" customWidth="1"/>
    <col min="9764" max="9764" width="19.85546875" style="636" bestFit="1" customWidth="1"/>
    <col min="9765" max="9765" width="0" style="636" hidden="1" customWidth="1"/>
    <col min="9766" max="9766" width="12.5703125" style="636" customWidth="1"/>
    <col min="9767" max="9984" width="8.85546875" style="636"/>
    <col min="9985" max="9986" width="0.85546875" style="636" customWidth="1"/>
    <col min="9987" max="9987" width="2.7109375" style="636" customWidth="1"/>
    <col min="9988" max="9988" width="35.140625" style="636" customWidth="1"/>
    <col min="9989" max="9989" width="3" style="636" customWidth="1"/>
    <col min="9990" max="9990" width="15.7109375" style="636" customWidth="1"/>
    <col min="9991" max="9995" width="0" style="636" hidden="1" customWidth="1"/>
    <col min="9996" max="9996" width="15.7109375" style="636" customWidth="1"/>
    <col min="9997" max="10002" width="0" style="636" hidden="1" customWidth="1"/>
    <col min="10003" max="10004" width="15.7109375" style="636" customWidth="1"/>
    <col min="10005" max="10009" width="0" style="636" hidden="1" customWidth="1"/>
    <col min="10010" max="10010" width="15.7109375" style="636" customWidth="1"/>
    <col min="10011" max="10016" width="0" style="636" hidden="1" customWidth="1"/>
    <col min="10017" max="10017" width="15.7109375" style="636" customWidth="1"/>
    <col min="10018" max="10018" width="2" style="636" customWidth="1"/>
    <col min="10019" max="10019" width="1.7109375" style="636" customWidth="1"/>
    <col min="10020" max="10020" width="19.85546875" style="636" bestFit="1" customWidth="1"/>
    <col min="10021" max="10021" width="0" style="636" hidden="1" customWidth="1"/>
    <col min="10022" max="10022" width="12.5703125" style="636" customWidth="1"/>
    <col min="10023" max="10240" width="8.85546875" style="636"/>
    <col min="10241" max="10242" width="0.85546875" style="636" customWidth="1"/>
    <col min="10243" max="10243" width="2.7109375" style="636" customWidth="1"/>
    <col min="10244" max="10244" width="35.140625" style="636" customWidth="1"/>
    <col min="10245" max="10245" width="3" style="636" customWidth="1"/>
    <col min="10246" max="10246" width="15.7109375" style="636" customWidth="1"/>
    <col min="10247" max="10251" width="0" style="636" hidden="1" customWidth="1"/>
    <col min="10252" max="10252" width="15.7109375" style="636" customWidth="1"/>
    <col min="10253" max="10258" width="0" style="636" hidden="1" customWidth="1"/>
    <col min="10259" max="10260" width="15.7109375" style="636" customWidth="1"/>
    <col min="10261" max="10265" width="0" style="636" hidden="1" customWidth="1"/>
    <col min="10266" max="10266" width="15.7109375" style="636" customWidth="1"/>
    <col min="10267" max="10272" width="0" style="636" hidden="1" customWidth="1"/>
    <col min="10273" max="10273" width="15.7109375" style="636" customWidth="1"/>
    <col min="10274" max="10274" width="2" style="636" customWidth="1"/>
    <col min="10275" max="10275" width="1.7109375" style="636" customWidth="1"/>
    <col min="10276" max="10276" width="19.85546875" style="636" bestFit="1" customWidth="1"/>
    <col min="10277" max="10277" width="0" style="636" hidden="1" customWidth="1"/>
    <col min="10278" max="10278" width="12.5703125" style="636" customWidth="1"/>
    <col min="10279" max="10496" width="8.85546875" style="636"/>
    <col min="10497" max="10498" width="0.85546875" style="636" customWidth="1"/>
    <col min="10499" max="10499" width="2.7109375" style="636" customWidth="1"/>
    <col min="10500" max="10500" width="35.140625" style="636" customWidth="1"/>
    <col min="10501" max="10501" width="3" style="636" customWidth="1"/>
    <col min="10502" max="10502" width="15.7109375" style="636" customWidth="1"/>
    <col min="10503" max="10507" width="0" style="636" hidden="1" customWidth="1"/>
    <col min="10508" max="10508" width="15.7109375" style="636" customWidth="1"/>
    <col min="10509" max="10514" width="0" style="636" hidden="1" customWidth="1"/>
    <col min="10515" max="10516" width="15.7109375" style="636" customWidth="1"/>
    <col min="10517" max="10521" width="0" style="636" hidden="1" customWidth="1"/>
    <col min="10522" max="10522" width="15.7109375" style="636" customWidth="1"/>
    <col min="10523" max="10528" width="0" style="636" hidden="1" customWidth="1"/>
    <col min="10529" max="10529" width="15.7109375" style="636" customWidth="1"/>
    <col min="10530" max="10530" width="2" style="636" customWidth="1"/>
    <col min="10531" max="10531" width="1.7109375" style="636" customWidth="1"/>
    <col min="10532" max="10532" width="19.85546875" style="636" bestFit="1" customWidth="1"/>
    <col min="10533" max="10533" width="0" style="636" hidden="1" customWidth="1"/>
    <col min="10534" max="10534" width="12.5703125" style="636" customWidth="1"/>
    <col min="10535" max="10752" width="8.85546875" style="636"/>
    <col min="10753" max="10754" width="0.85546875" style="636" customWidth="1"/>
    <col min="10755" max="10755" width="2.7109375" style="636" customWidth="1"/>
    <col min="10756" max="10756" width="35.140625" style="636" customWidth="1"/>
    <col min="10757" max="10757" width="3" style="636" customWidth="1"/>
    <col min="10758" max="10758" width="15.7109375" style="636" customWidth="1"/>
    <col min="10759" max="10763" width="0" style="636" hidden="1" customWidth="1"/>
    <col min="10764" max="10764" width="15.7109375" style="636" customWidth="1"/>
    <col min="10765" max="10770" width="0" style="636" hidden="1" customWidth="1"/>
    <col min="10771" max="10772" width="15.7109375" style="636" customWidth="1"/>
    <col min="10773" max="10777" width="0" style="636" hidden="1" customWidth="1"/>
    <col min="10778" max="10778" width="15.7109375" style="636" customWidth="1"/>
    <col min="10779" max="10784" width="0" style="636" hidden="1" customWidth="1"/>
    <col min="10785" max="10785" width="15.7109375" style="636" customWidth="1"/>
    <col min="10786" max="10786" width="2" style="636" customWidth="1"/>
    <col min="10787" max="10787" width="1.7109375" style="636" customWidth="1"/>
    <col min="10788" max="10788" width="19.85546875" style="636" bestFit="1" customWidth="1"/>
    <col min="10789" max="10789" width="0" style="636" hidden="1" customWidth="1"/>
    <col min="10790" max="10790" width="12.5703125" style="636" customWidth="1"/>
    <col min="10791" max="11008" width="8.85546875" style="636"/>
    <col min="11009" max="11010" width="0.85546875" style="636" customWidth="1"/>
    <col min="11011" max="11011" width="2.7109375" style="636" customWidth="1"/>
    <col min="11012" max="11012" width="35.140625" style="636" customWidth="1"/>
    <col min="11013" max="11013" width="3" style="636" customWidth="1"/>
    <col min="11014" max="11014" width="15.7109375" style="636" customWidth="1"/>
    <col min="11015" max="11019" width="0" style="636" hidden="1" customWidth="1"/>
    <col min="11020" max="11020" width="15.7109375" style="636" customWidth="1"/>
    <col min="11021" max="11026" width="0" style="636" hidden="1" customWidth="1"/>
    <col min="11027" max="11028" width="15.7109375" style="636" customWidth="1"/>
    <col min="11029" max="11033" width="0" style="636" hidden="1" customWidth="1"/>
    <col min="11034" max="11034" width="15.7109375" style="636" customWidth="1"/>
    <col min="11035" max="11040" width="0" style="636" hidden="1" customWidth="1"/>
    <col min="11041" max="11041" width="15.7109375" style="636" customWidth="1"/>
    <col min="11042" max="11042" width="2" style="636" customWidth="1"/>
    <col min="11043" max="11043" width="1.7109375" style="636" customWidth="1"/>
    <col min="11044" max="11044" width="19.85546875" style="636" bestFit="1" customWidth="1"/>
    <col min="11045" max="11045" width="0" style="636" hidden="1" customWidth="1"/>
    <col min="11046" max="11046" width="12.5703125" style="636" customWidth="1"/>
    <col min="11047" max="11264" width="8.85546875" style="636"/>
    <col min="11265" max="11266" width="0.85546875" style="636" customWidth="1"/>
    <col min="11267" max="11267" width="2.7109375" style="636" customWidth="1"/>
    <col min="11268" max="11268" width="35.140625" style="636" customWidth="1"/>
    <col min="11269" max="11269" width="3" style="636" customWidth="1"/>
    <col min="11270" max="11270" width="15.7109375" style="636" customWidth="1"/>
    <col min="11271" max="11275" width="0" style="636" hidden="1" customWidth="1"/>
    <col min="11276" max="11276" width="15.7109375" style="636" customWidth="1"/>
    <col min="11277" max="11282" width="0" style="636" hidden="1" customWidth="1"/>
    <col min="11283" max="11284" width="15.7109375" style="636" customWidth="1"/>
    <col min="11285" max="11289" width="0" style="636" hidden="1" customWidth="1"/>
    <col min="11290" max="11290" width="15.7109375" style="636" customWidth="1"/>
    <col min="11291" max="11296" width="0" style="636" hidden="1" customWidth="1"/>
    <col min="11297" max="11297" width="15.7109375" style="636" customWidth="1"/>
    <col min="11298" max="11298" width="2" style="636" customWidth="1"/>
    <col min="11299" max="11299" width="1.7109375" style="636" customWidth="1"/>
    <col min="11300" max="11300" width="19.85546875" style="636" bestFit="1" customWidth="1"/>
    <col min="11301" max="11301" width="0" style="636" hidden="1" customWidth="1"/>
    <col min="11302" max="11302" width="12.5703125" style="636" customWidth="1"/>
    <col min="11303" max="11520" width="8.85546875" style="636"/>
    <col min="11521" max="11522" width="0.85546875" style="636" customWidth="1"/>
    <col min="11523" max="11523" width="2.7109375" style="636" customWidth="1"/>
    <col min="11524" max="11524" width="35.140625" style="636" customWidth="1"/>
    <col min="11525" max="11525" width="3" style="636" customWidth="1"/>
    <col min="11526" max="11526" width="15.7109375" style="636" customWidth="1"/>
    <col min="11527" max="11531" width="0" style="636" hidden="1" customWidth="1"/>
    <col min="11532" max="11532" width="15.7109375" style="636" customWidth="1"/>
    <col min="11533" max="11538" width="0" style="636" hidden="1" customWidth="1"/>
    <col min="11539" max="11540" width="15.7109375" style="636" customWidth="1"/>
    <col min="11541" max="11545" width="0" style="636" hidden="1" customWidth="1"/>
    <col min="11546" max="11546" width="15.7109375" style="636" customWidth="1"/>
    <col min="11547" max="11552" width="0" style="636" hidden="1" customWidth="1"/>
    <col min="11553" max="11553" width="15.7109375" style="636" customWidth="1"/>
    <col min="11554" max="11554" width="2" style="636" customWidth="1"/>
    <col min="11555" max="11555" width="1.7109375" style="636" customWidth="1"/>
    <col min="11556" max="11556" width="19.85546875" style="636" bestFit="1" customWidth="1"/>
    <col min="11557" max="11557" width="0" style="636" hidden="1" customWidth="1"/>
    <col min="11558" max="11558" width="12.5703125" style="636" customWidth="1"/>
    <col min="11559" max="11776" width="8.85546875" style="636"/>
    <col min="11777" max="11778" width="0.85546875" style="636" customWidth="1"/>
    <col min="11779" max="11779" width="2.7109375" style="636" customWidth="1"/>
    <col min="11780" max="11780" width="35.140625" style="636" customWidth="1"/>
    <col min="11781" max="11781" width="3" style="636" customWidth="1"/>
    <col min="11782" max="11782" width="15.7109375" style="636" customWidth="1"/>
    <col min="11783" max="11787" width="0" style="636" hidden="1" customWidth="1"/>
    <col min="11788" max="11788" width="15.7109375" style="636" customWidth="1"/>
    <col min="11789" max="11794" width="0" style="636" hidden="1" customWidth="1"/>
    <col min="11795" max="11796" width="15.7109375" style="636" customWidth="1"/>
    <col min="11797" max="11801" width="0" style="636" hidden="1" customWidth="1"/>
    <col min="11802" max="11802" width="15.7109375" style="636" customWidth="1"/>
    <col min="11803" max="11808" width="0" style="636" hidden="1" customWidth="1"/>
    <col min="11809" max="11809" width="15.7109375" style="636" customWidth="1"/>
    <col min="11810" max="11810" width="2" style="636" customWidth="1"/>
    <col min="11811" max="11811" width="1.7109375" style="636" customWidth="1"/>
    <col min="11812" max="11812" width="19.85546875" style="636" bestFit="1" customWidth="1"/>
    <col min="11813" max="11813" width="0" style="636" hidden="1" customWidth="1"/>
    <col min="11814" max="11814" width="12.5703125" style="636" customWidth="1"/>
    <col min="11815" max="12032" width="8.85546875" style="636"/>
    <col min="12033" max="12034" width="0.85546875" style="636" customWidth="1"/>
    <col min="12035" max="12035" width="2.7109375" style="636" customWidth="1"/>
    <col min="12036" max="12036" width="35.140625" style="636" customWidth="1"/>
    <col min="12037" max="12037" width="3" style="636" customWidth="1"/>
    <col min="12038" max="12038" width="15.7109375" style="636" customWidth="1"/>
    <col min="12039" max="12043" width="0" style="636" hidden="1" customWidth="1"/>
    <col min="12044" max="12044" width="15.7109375" style="636" customWidth="1"/>
    <col min="12045" max="12050" width="0" style="636" hidden="1" customWidth="1"/>
    <col min="12051" max="12052" width="15.7109375" style="636" customWidth="1"/>
    <col min="12053" max="12057" width="0" style="636" hidden="1" customWidth="1"/>
    <col min="12058" max="12058" width="15.7109375" style="636" customWidth="1"/>
    <col min="12059" max="12064" width="0" style="636" hidden="1" customWidth="1"/>
    <col min="12065" max="12065" width="15.7109375" style="636" customWidth="1"/>
    <col min="12066" max="12066" width="2" style="636" customWidth="1"/>
    <col min="12067" max="12067" width="1.7109375" style="636" customWidth="1"/>
    <col min="12068" max="12068" width="19.85546875" style="636" bestFit="1" customWidth="1"/>
    <col min="12069" max="12069" width="0" style="636" hidden="1" customWidth="1"/>
    <col min="12070" max="12070" width="12.5703125" style="636" customWidth="1"/>
    <col min="12071" max="12288" width="8.85546875" style="636"/>
    <col min="12289" max="12290" width="0.85546875" style="636" customWidth="1"/>
    <col min="12291" max="12291" width="2.7109375" style="636" customWidth="1"/>
    <col min="12292" max="12292" width="35.140625" style="636" customWidth="1"/>
    <col min="12293" max="12293" width="3" style="636" customWidth="1"/>
    <col min="12294" max="12294" width="15.7109375" style="636" customWidth="1"/>
    <col min="12295" max="12299" width="0" style="636" hidden="1" customWidth="1"/>
    <col min="12300" max="12300" width="15.7109375" style="636" customWidth="1"/>
    <col min="12301" max="12306" width="0" style="636" hidden="1" customWidth="1"/>
    <col min="12307" max="12308" width="15.7109375" style="636" customWidth="1"/>
    <col min="12309" max="12313" width="0" style="636" hidden="1" customWidth="1"/>
    <col min="12314" max="12314" width="15.7109375" style="636" customWidth="1"/>
    <col min="12315" max="12320" width="0" style="636" hidden="1" customWidth="1"/>
    <col min="12321" max="12321" width="15.7109375" style="636" customWidth="1"/>
    <col min="12322" max="12322" width="2" style="636" customWidth="1"/>
    <col min="12323" max="12323" width="1.7109375" style="636" customWidth="1"/>
    <col min="12324" max="12324" width="19.85546875" style="636" bestFit="1" customWidth="1"/>
    <col min="12325" max="12325" width="0" style="636" hidden="1" customWidth="1"/>
    <col min="12326" max="12326" width="12.5703125" style="636" customWidth="1"/>
    <col min="12327" max="12544" width="8.85546875" style="636"/>
    <col min="12545" max="12546" width="0.85546875" style="636" customWidth="1"/>
    <col min="12547" max="12547" width="2.7109375" style="636" customWidth="1"/>
    <col min="12548" max="12548" width="35.140625" style="636" customWidth="1"/>
    <col min="12549" max="12549" width="3" style="636" customWidth="1"/>
    <col min="12550" max="12550" width="15.7109375" style="636" customWidth="1"/>
    <col min="12551" max="12555" width="0" style="636" hidden="1" customWidth="1"/>
    <col min="12556" max="12556" width="15.7109375" style="636" customWidth="1"/>
    <col min="12557" max="12562" width="0" style="636" hidden="1" customWidth="1"/>
    <col min="12563" max="12564" width="15.7109375" style="636" customWidth="1"/>
    <col min="12565" max="12569" width="0" style="636" hidden="1" customWidth="1"/>
    <col min="12570" max="12570" width="15.7109375" style="636" customWidth="1"/>
    <col min="12571" max="12576" width="0" style="636" hidden="1" customWidth="1"/>
    <col min="12577" max="12577" width="15.7109375" style="636" customWidth="1"/>
    <col min="12578" max="12578" width="2" style="636" customWidth="1"/>
    <col min="12579" max="12579" width="1.7109375" style="636" customWidth="1"/>
    <col min="12580" max="12580" width="19.85546875" style="636" bestFit="1" customWidth="1"/>
    <col min="12581" max="12581" width="0" style="636" hidden="1" customWidth="1"/>
    <col min="12582" max="12582" width="12.5703125" style="636" customWidth="1"/>
    <col min="12583" max="12800" width="8.85546875" style="636"/>
    <col min="12801" max="12802" width="0.85546875" style="636" customWidth="1"/>
    <col min="12803" max="12803" width="2.7109375" style="636" customWidth="1"/>
    <col min="12804" max="12804" width="35.140625" style="636" customWidth="1"/>
    <col min="12805" max="12805" width="3" style="636" customWidth="1"/>
    <col min="12806" max="12806" width="15.7109375" style="636" customWidth="1"/>
    <col min="12807" max="12811" width="0" style="636" hidden="1" customWidth="1"/>
    <col min="12812" max="12812" width="15.7109375" style="636" customWidth="1"/>
    <col min="12813" max="12818" width="0" style="636" hidden="1" customWidth="1"/>
    <col min="12819" max="12820" width="15.7109375" style="636" customWidth="1"/>
    <col min="12821" max="12825" width="0" style="636" hidden="1" customWidth="1"/>
    <col min="12826" max="12826" width="15.7109375" style="636" customWidth="1"/>
    <col min="12827" max="12832" width="0" style="636" hidden="1" customWidth="1"/>
    <col min="12833" max="12833" width="15.7109375" style="636" customWidth="1"/>
    <col min="12834" max="12834" width="2" style="636" customWidth="1"/>
    <col min="12835" max="12835" width="1.7109375" style="636" customWidth="1"/>
    <col min="12836" max="12836" width="19.85546875" style="636" bestFit="1" customWidth="1"/>
    <col min="12837" max="12837" width="0" style="636" hidden="1" customWidth="1"/>
    <col min="12838" max="12838" width="12.5703125" style="636" customWidth="1"/>
    <col min="12839" max="13056" width="8.85546875" style="636"/>
    <col min="13057" max="13058" width="0.85546875" style="636" customWidth="1"/>
    <col min="13059" max="13059" width="2.7109375" style="636" customWidth="1"/>
    <col min="13060" max="13060" width="35.140625" style="636" customWidth="1"/>
    <col min="13061" max="13061" width="3" style="636" customWidth="1"/>
    <col min="13062" max="13062" width="15.7109375" style="636" customWidth="1"/>
    <col min="13063" max="13067" width="0" style="636" hidden="1" customWidth="1"/>
    <col min="13068" max="13068" width="15.7109375" style="636" customWidth="1"/>
    <col min="13069" max="13074" width="0" style="636" hidden="1" customWidth="1"/>
    <col min="13075" max="13076" width="15.7109375" style="636" customWidth="1"/>
    <col min="13077" max="13081" width="0" style="636" hidden="1" customWidth="1"/>
    <col min="13082" max="13082" width="15.7109375" style="636" customWidth="1"/>
    <col min="13083" max="13088" width="0" style="636" hidden="1" customWidth="1"/>
    <col min="13089" max="13089" width="15.7109375" style="636" customWidth="1"/>
    <col min="13090" max="13090" width="2" style="636" customWidth="1"/>
    <col min="13091" max="13091" width="1.7109375" style="636" customWidth="1"/>
    <col min="13092" max="13092" width="19.85546875" style="636" bestFit="1" customWidth="1"/>
    <col min="13093" max="13093" width="0" style="636" hidden="1" customWidth="1"/>
    <col min="13094" max="13094" width="12.5703125" style="636" customWidth="1"/>
    <col min="13095" max="13312" width="8.85546875" style="636"/>
    <col min="13313" max="13314" width="0.85546875" style="636" customWidth="1"/>
    <col min="13315" max="13315" width="2.7109375" style="636" customWidth="1"/>
    <col min="13316" max="13316" width="35.140625" style="636" customWidth="1"/>
    <col min="13317" max="13317" width="3" style="636" customWidth="1"/>
    <col min="13318" max="13318" width="15.7109375" style="636" customWidth="1"/>
    <col min="13319" max="13323" width="0" style="636" hidden="1" customWidth="1"/>
    <col min="13324" max="13324" width="15.7109375" style="636" customWidth="1"/>
    <col min="13325" max="13330" width="0" style="636" hidden="1" customWidth="1"/>
    <col min="13331" max="13332" width="15.7109375" style="636" customWidth="1"/>
    <col min="13333" max="13337" width="0" style="636" hidden="1" customWidth="1"/>
    <col min="13338" max="13338" width="15.7109375" style="636" customWidth="1"/>
    <col min="13339" max="13344" width="0" style="636" hidden="1" customWidth="1"/>
    <col min="13345" max="13345" width="15.7109375" style="636" customWidth="1"/>
    <col min="13346" max="13346" width="2" style="636" customWidth="1"/>
    <col min="13347" max="13347" width="1.7109375" style="636" customWidth="1"/>
    <col min="13348" max="13348" width="19.85546875" style="636" bestFit="1" customWidth="1"/>
    <col min="13349" max="13349" width="0" style="636" hidden="1" customWidth="1"/>
    <col min="13350" max="13350" width="12.5703125" style="636" customWidth="1"/>
    <col min="13351" max="13568" width="8.85546875" style="636"/>
    <col min="13569" max="13570" width="0.85546875" style="636" customWidth="1"/>
    <col min="13571" max="13571" width="2.7109375" style="636" customWidth="1"/>
    <col min="13572" max="13572" width="35.140625" style="636" customWidth="1"/>
    <col min="13573" max="13573" width="3" style="636" customWidth="1"/>
    <col min="13574" max="13574" width="15.7109375" style="636" customWidth="1"/>
    <col min="13575" max="13579" width="0" style="636" hidden="1" customWidth="1"/>
    <col min="13580" max="13580" width="15.7109375" style="636" customWidth="1"/>
    <col min="13581" max="13586" width="0" style="636" hidden="1" customWidth="1"/>
    <col min="13587" max="13588" width="15.7109375" style="636" customWidth="1"/>
    <col min="13589" max="13593" width="0" style="636" hidden="1" customWidth="1"/>
    <col min="13594" max="13594" width="15.7109375" style="636" customWidth="1"/>
    <col min="13595" max="13600" width="0" style="636" hidden="1" customWidth="1"/>
    <col min="13601" max="13601" width="15.7109375" style="636" customWidth="1"/>
    <col min="13602" max="13602" width="2" style="636" customWidth="1"/>
    <col min="13603" max="13603" width="1.7109375" style="636" customWidth="1"/>
    <col min="13604" max="13604" width="19.85546875" style="636" bestFit="1" customWidth="1"/>
    <col min="13605" max="13605" width="0" style="636" hidden="1" customWidth="1"/>
    <col min="13606" max="13606" width="12.5703125" style="636" customWidth="1"/>
    <col min="13607" max="13824" width="8.85546875" style="636"/>
    <col min="13825" max="13826" width="0.85546875" style="636" customWidth="1"/>
    <col min="13827" max="13827" width="2.7109375" style="636" customWidth="1"/>
    <col min="13828" max="13828" width="35.140625" style="636" customWidth="1"/>
    <col min="13829" max="13829" width="3" style="636" customWidth="1"/>
    <col min="13830" max="13830" width="15.7109375" style="636" customWidth="1"/>
    <col min="13831" max="13835" width="0" style="636" hidden="1" customWidth="1"/>
    <col min="13836" max="13836" width="15.7109375" style="636" customWidth="1"/>
    <col min="13837" max="13842" width="0" style="636" hidden="1" customWidth="1"/>
    <col min="13843" max="13844" width="15.7109375" style="636" customWidth="1"/>
    <col min="13845" max="13849" width="0" style="636" hidden="1" customWidth="1"/>
    <col min="13850" max="13850" width="15.7109375" style="636" customWidth="1"/>
    <col min="13851" max="13856" width="0" style="636" hidden="1" customWidth="1"/>
    <col min="13857" max="13857" width="15.7109375" style="636" customWidth="1"/>
    <col min="13858" max="13858" width="2" style="636" customWidth="1"/>
    <col min="13859" max="13859" width="1.7109375" style="636" customWidth="1"/>
    <col min="13860" max="13860" width="19.85546875" style="636" bestFit="1" customWidth="1"/>
    <col min="13861" max="13861" width="0" style="636" hidden="1" customWidth="1"/>
    <col min="13862" max="13862" width="12.5703125" style="636" customWidth="1"/>
    <col min="13863" max="14080" width="8.85546875" style="636"/>
    <col min="14081" max="14082" width="0.85546875" style="636" customWidth="1"/>
    <col min="14083" max="14083" width="2.7109375" style="636" customWidth="1"/>
    <col min="14084" max="14084" width="35.140625" style="636" customWidth="1"/>
    <col min="14085" max="14085" width="3" style="636" customWidth="1"/>
    <col min="14086" max="14086" width="15.7109375" style="636" customWidth="1"/>
    <col min="14087" max="14091" width="0" style="636" hidden="1" customWidth="1"/>
    <col min="14092" max="14092" width="15.7109375" style="636" customWidth="1"/>
    <col min="14093" max="14098" width="0" style="636" hidden="1" customWidth="1"/>
    <col min="14099" max="14100" width="15.7109375" style="636" customWidth="1"/>
    <col min="14101" max="14105" width="0" style="636" hidden="1" customWidth="1"/>
    <col min="14106" max="14106" width="15.7109375" style="636" customWidth="1"/>
    <col min="14107" max="14112" width="0" style="636" hidden="1" customWidth="1"/>
    <col min="14113" max="14113" width="15.7109375" style="636" customWidth="1"/>
    <col min="14114" max="14114" width="2" style="636" customWidth="1"/>
    <col min="14115" max="14115" width="1.7109375" style="636" customWidth="1"/>
    <col min="14116" max="14116" width="19.85546875" style="636" bestFit="1" customWidth="1"/>
    <col min="14117" max="14117" width="0" style="636" hidden="1" customWidth="1"/>
    <col min="14118" max="14118" width="12.5703125" style="636" customWidth="1"/>
    <col min="14119" max="14336" width="8.85546875" style="636"/>
    <col min="14337" max="14338" width="0.85546875" style="636" customWidth="1"/>
    <col min="14339" max="14339" width="2.7109375" style="636" customWidth="1"/>
    <col min="14340" max="14340" width="35.140625" style="636" customWidth="1"/>
    <col min="14341" max="14341" width="3" style="636" customWidth="1"/>
    <col min="14342" max="14342" width="15.7109375" style="636" customWidth="1"/>
    <col min="14343" max="14347" width="0" style="636" hidden="1" customWidth="1"/>
    <col min="14348" max="14348" width="15.7109375" style="636" customWidth="1"/>
    <col min="14349" max="14354" width="0" style="636" hidden="1" customWidth="1"/>
    <col min="14355" max="14356" width="15.7109375" style="636" customWidth="1"/>
    <col min="14357" max="14361" width="0" style="636" hidden="1" customWidth="1"/>
    <col min="14362" max="14362" width="15.7109375" style="636" customWidth="1"/>
    <col min="14363" max="14368" width="0" style="636" hidden="1" customWidth="1"/>
    <col min="14369" max="14369" width="15.7109375" style="636" customWidth="1"/>
    <col min="14370" max="14370" width="2" style="636" customWidth="1"/>
    <col min="14371" max="14371" width="1.7109375" style="636" customWidth="1"/>
    <col min="14372" max="14372" width="19.85546875" style="636" bestFit="1" customWidth="1"/>
    <col min="14373" max="14373" width="0" style="636" hidden="1" customWidth="1"/>
    <col min="14374" max="14374" width="12.5703125" style="636" customWidth="1"/>
    <col min="14375" max="14592" width="8.85546875" style="636"/>
    <col min="14593" max="14594" width="0.85546875" style="636" customWidth="1"/>
    <col min="14595" max="14595" width="2.7109375" style="636" customWidth="1"/>
    <col min="14596" max="14596" width="35.140625" style="636" customWidth="1"/>
    <col min="14597" max="14597" width="3" style="636" customWidth="1"/>
    <col min="14598" max="14598" width="15.7109375" style="636" customWidth="1"/>
    <col min="14599" max="14603" width="0" style="636" hidden="1" customWidth="1"/>
    <col min="14604" max="14604" width="15.7109375" style="636" customWidth="1"/>
    <col min="14605" max="14610" width="0" style="636" hidden="1" customWidth="1"/>
    <col min="14611" max="14612" width="15.7109375" style="636" customWidth="1"/>
    <col min="14613" max="14617" width="0" style="636" hidden="1" customWidth="1"/>
    <col min="14618" max="14618" width="15.7109375" style="636" customWidth="1"/>
    <col min="14619" max="14624" width="0" style="636" hidden="1" customWidth="1"/>
    <col min="14625" max="14625" width="15.7109375" style="636" customWidth="1"/>
    <col min="14626" max="14626" width="2" style="636" customWidth="1"/>
    <col min="14627" max="14627" width="1.7109375" style="636" customWidth="1"/>
    <col min="14628" max="14628" width="19.85546875" style="636" bestFit="1" customWidth="1"/>
    <col min="14629" max="14629" width="0" style="636" hidden="1" customWidth="1"/>
    <col min="14630" max="14630" width="12.5703125" style="636" customWidth="1"/>
    <col min="14631" max="14848" width="8.85546875" style="636"/>
    <col min="14849" max="14850" width="0.85546875" style="636" customWidth="1"/>
    <col min="14851" max="14851" width="2.7109375" style="636" customWidth="1"/>
    <col min="14852" max="14852" width="35.140625" style="636" customWidth="1"/>
    <col min="14853" max="14853" width="3" style="636" customWidth="1"/>
    <col min="14854" max="14854" width="15.7109375" style="636" customWidth="1"/>
    <col min="14855" max="14859" width="0" style="636" hidden="1" customWidth="1"/>
    <col min="14860" max="14860" width="15.7109375" style="636" customWidth="1"/>
    <col min="14861" max="14866" width="0" style="636" hidden="1" customWidth="1"/>
    <col min="14867" max="14868" width="15.7109375" style="636" customWidth="1"/>
    <col min="14869" max="14873" width="0" style="636" hidden="1" customWidth="1"/>
    <col min="14874" max="14874" width="15.7109375" style="636" customWidth="1"/>
    <col min="14875" max="14880" width="0" style="636" hidden="1" customWidth="1"/>
    <col min="14881" max="14881" width="15.7109375" style="636" customWidth="1"/>
    <col min="14882" max="14882" width="2" style="636" customWidth="1"/>
    <col min="14883" max="14883" width="1.7109375" style="636" customWidth="1"/>
    <col min="14884" max="14884" width="19.85546875" style="636" bestFit="1" customWidth="1"/>
    <col min="14885" max="14885" width="0" style="636" hidden="1" customWidth="1"/>
    <col min="14886" max="14886" width="12.5703125" style="636" customWidth="1"/>
    <col min="14887" max="15104" width="8.85546875" style="636"/>
    <col min="15105" max="15106" width="0.85546875" style="636" customWidth="1"/>
    <col min="15107" max="15107" width="2.7109375" style="636" customWidth="1"/>
    <col min="15108" max="15108" width="35.140625" style="636" customWidth="1"/>
    <col min="15109" max="15109" width="3" style="636" customWidth="1"/>
    <col min="15110" max="15110" width="15.7109375" style="636" customWidth="1"/>
    <col min="15111" max="15115" width="0" style="636" hidden="1" customWidth="1"/>
    <col min="15116" max="15116" width="15.7109375" style="636" customWidth="1"/>
    <col min="15117" max="15122" width="0" style="636" hidden="1" customWidth="1"/>
    <col min="15123" max="15124" width="15.7109375" style="636" customWidth="1"/>
    <col min="15125" max="15129" width="0" style="636" hidden="1" customWidth="1"/>
    <col min="15130" max="15130" width="15.7109375" style="636" customWidth="1"/>
    <col min="15131" max="15136" width="0" style="636" hidden="1" customWidth="1"/>
    <col min="15137" max="15137" width="15.7109375" style="636" customWidth="1"/>
    <col min="15138" max="15138" width="2" style="636" customWidth="1"/>
    <col min="15139" max="15139" width="1.7109375" style="636" customWidth="1"/>
    <col min="15140" max="15140" width="19.85546875" style="636" bestFit="1" customWidth="1"/>
    <col min="15141" max="15141" width="0" style="636" hidden="1" customWidth="1"/>
    <col min="15142" max="15142" width="12.5703125" style="636" customWidth="1"/>
    <col min="15143" max="15360" width="8.85546875" style="636"/>
    <col min="15361" max="15362" width="0.85546875" style="636" customWidth="1"/>
    <col min="15363" max="15363" width="2.7109375" style="636" customWidth="1"/>
    <col min="15364" max="15364" width="35.140625" style="636" customWidth="1"/>
    <col min="15365" max="15365" width="3" style="636" customWidth="1"/>
    <col min="15366" max="15366" width="15.7109375" style="636" customWidth="1"/>
    <col min="15367" max="15371" width="0" style="636" hidden="1" customWidth="1"/>
    <col min="15372" max="15372" width="15.7109375" style="636" customWidth="1"/>
    <col min="15373" max="15378" width="0" style="636" hidden="1" customWidth="1"/>
    <col min="15379" max="15380" width="15.7109375" style="636" customWidth="1"/>
    <col min="15381" max="15385" width="0" style="636" hidden="1" customWidth="1"/>
    <col min="15386" max="15386" width="15.7109375" style="636" customWidth="1"/>
    <col min="15387" max="15392" width="0" style="636" hidden="1" customWidth="1"/>
    <col min="15393" max="15393" width="15.7109375" style="636" customWidth="1"/>
    <col min="15394" max="15394" width="2" style="636" customWidth="1"/>
    <col min="15395" max="15395" width="1.7109375" style="636" customWidth="1"/>
    <col min="15396" max="15396" width="19.85546875" style="636" bestFit="1" customWidth="1"/>
    <col min="15397" max="15397" width="0" style="636" hidden="1" customWidth="1"/>
    <col min="15398" max="15398" width="12.5703125" style="636" customWidth="1"/>
    <col min="15399" max="15616" width="8.85546875" style="636"/>
    <col min="15617" max="15618" width="0.85546875" style="636" customWidth="1"/>
    <col min="15619" max="15619" width="2.7109375" style="636" customWidth="1"/>
    <col min="15620" max="15620" width="35.140625" style="636" customWidth="1"/>
    <col min="15621" max="15621" width="3" style="636" customWidth="1"/>
    <col min="15622" max="15622" width="15.7109375" style="636" customWidth="1"/>
    <col min="15623" max="15627" width="0" style="636" hidden="1" customWidth="1"/>
    <col min="15628" max="15628" width="15.7109375" style="636" customWidth="1"/>
    <col min="15629" max="15634" width="0" style="636" hidden="1" customWidth="1"/>
    <col min="15635" max="15636" width="15.7109375" style="636" customWidth="1"/>
    <col min="15637" max="15641" width="0" style="636" hidden="1" customWidth="1"/>
    <col min="15642" max="15642" width="15.7109375" style="636" customWidth="1"/>
    <col min="15643" max="15648" width="0" style="636" hidden="1" customWidth="1"/>
    <col min="15649" max="15649" width="15.7109375" style="636" customWidth="1"/>
    <col min="15650" max="15650" width="2" style="636" customWidth="1"/>
    <col min="15651" max="15651" width="1.7109375" style="636" customWidth="1"/>
    <col min="15652" max="15652" width="19.85546875" style="636" bestFit="1" customWidth="1"/>
    <col min="15653" max="15653" width="0" style="636" hidden="1" customWidth="1"/>
    <col min="15654" max="15654" width="12.5703125" style="636" customWidth="1"/>
    <col min="15655" max="15872" width="8.85546875" style="636"/>
    <col min="15873" max="15874" width="0.85546875" style="636" customWidth="1"/>
    <col min="15875" max="15875" width="2.7109375" style="636" customWidth="1"/>
    <col min="15876" max="15876" width="35.140625" style="636" customWidth="1"/>
    <col min="15877" max="15877" width="3" style="636" customWidth="1"/>
    <col min="15878" max="15878" width="15.7109375" style="636" customWidth="1"/>
    <col min="15879" max="15883" width="0" style="636" hidden="1" customWidth="1"/>
    <col min="15884" max="15884" width="15.7109375" style="636" customWidth="1"/>
    <col min="15885" max="15890" width="0" style="636" hidden="1" customWidth="1"/>
    <col min="15891" max="15892" width="15.7109375" style="636" customWidth="1"/>
    <col min="15893" max="15897" width="0" style="636" hidden="1" customWidth="1"/>
    <col min="15898" max="15898" width="15.7109375" style="636" customWidth="1"/>
    <col min="15899" max="15904" width="0" style="636" hidden="1" customWidth="1"/>
    <col min="15905" max="15905" width="15.7109375" style="636" customWidth="1"/>
    <col min="15906" max="15906" width="2" style="636" customWidth="1"/>
    <col min="15907" max="15907" width="1.7109375" style="636" customWidth="1"/>
    <col min="15908" max="15908" width="19.85546875" style="636" bestFit="1" customWidth="1"/>
    <col min="15909" max="15909" width="0" style="636" hidden="1" customWidth="1"/>
    <col min="15910" max="15910" width="12.5703125" style="636" customWidth="1"/>
    <col min="15911" max="16128" width="8.85546875" style="636"/>
    <col min="16129" max="16130" width="0.85546875" style="636" customWidth="1"/>
    <col min="16131" max="16131" width="2.7109375" style="636" customWidth="1"/>
    <col min="16132" max="16132" width="35.140625" style="636" customWidth="1"/>
    <col min="16133" max="16133" width="3" style="636" customWidth="1"/>
    <col min="16134" max="16134" width="15.7109375" style="636" customWidth="1"/>
    <col min="16135" max="16139" width="0" style="636" hidden="1" customWidth="1"/>
    <col min="16140" max="16140" width="15.7109375" style="636" customWidth="1"/>
    <col min="16141" max="16146" width="0" style="636" hidden="1" customWidth="1"/>
    <col min="16147" max="16148" width="15.7109375" style="636" customWidth="1"/>
    <col min="16149" max="16153" width="0" style="636" hidden="1" customWidth="1"/>
    <col min="16154" max="16154" width="15.7109375" style="636" customWidth="1"/>
    <col min="16155" max="16160" width="0" style="636" hidden="1" customWidth="1"/>
    <col min="16161" max="16161" width="15.7109375" style="636" customWidth="1"/>
    <col min="16162" max="16162" width="2" style="636" customWidth="1"/>
    <col min="16163" max="16163" width="1.7109375" style="636" customWidth="1"/>
    <col min="16164" max="16164" width="19.85546875" style="636" bestFit="1" customWidth="1"/>
    <col min="16165" max="16165" width="0" style="636" hidden="1" customWidth="1"/>
    <col min="16166" max="16166" width="12.5703125" style="636" customWidth="1"/>
    <col min="16167" max="16384" width="8.85546875" style="636"/>
  </cols>
  <sheetData>
    <row r="1" spans="1:37" ht="15.75" x14ac:dyDescent="0.25">
      <c r="A1" s="631"/>
      <c r="B1" s="631"/>
      <c r="C1" s="632" t="s">
        <v>642</v>
      </c>
      <c r="D1" s="633"/>
      <c r="E1" s="634"/>
      <c r="F1" s="635"/>
      <c r="G1" s="635"/>
      <c r="H1" s="635"/>
      <c r="I1" s="635"/>
      <c r="J1" s="635"/>
      <c r="K1" s="635"/>
      <c r="L1" s="635"/>
      <c r="M1" s="635"/>
      <c r="N1" s="635"/>
      <c r="O1" s="635"/>
      <c r="P1" s="635"/>
      <c r="Q1" s="635"/>
      <c r="R1" s="635"/>
      <c r="S1" s="635"/>
      <c r="T1" s="634"/>
      <c r="U1" s="634"/>
      <c r="V1" s="634"/>
      <c r="W1" s="634"/>
      <c r="X1" s="634"/>
      <c r="Y1" s="634"/>
      <c r="Z1" s="634"/>
      <c r="AA1" s="634"/>
      <c r="AB1" s="634"/>
      <c r="AC1" s="634"/>
      <c r="AD1" s="634"/>
      <c r="AE1" s="634"/>
      <c r="AF1" s="634"/>
      <c r="AG1" s="635"/>
      <c r="AH1" s="631"/>
      <c r="AI1" s="631"/>
    </row>
    <row r="2" spans="1:37" x14ac:dyDescent="0.2">
      <c r="A2" s="631"/>
      <c r="B2" s="631"/>
      <c r="C2" s="637"/>
      <c r="D2" s="638"/>
      <c r="E2" s="639"/>
      <c r="F2" s="691" t="s">
        <v>3</v>
      </c>
      <c r="G2" s="733"/>
      <c r="H2" s="733"/>
      <c r="I2" s="733"/>
      <c r="J2" s="733"/>
      <c r="K2" s="733"/>
      <c r="L2" s="733"/>
      <c r="M2" s="733"/>
      <c r="N2" s="733"/>
      <c r="O2" s="733"/>
      <c r="P2" s="733"/>
      <c r="Q2" s="733"/>
      <c r="R2" s="733"/>
      <c r="S2" s="734"/>
      <c r="T2" s="691" t="s">
        <v>4</v>
      </c>
      <c r="U2" s="733"/>
      <c r="V2" s="733"/>
      <c r="W2" s="733"/>
      <c r="X2" s="733"/>
      <c r="Y2" s="733"/>
      <c r="Z2" s="733"/>
      <c r="AA2" s="733"/>
      <c r="AB2" s="733"/>
      <c r="AC2" s="733"/>
      <c r="AD2" s="733"/>
      <c r="AE2" s="733"/>
      <c r="AF2" s="733"/>
      <c r="AG2" s="734"/>
      <c r="AH2" s="640"/>
      <c r="AI2" s="631"/>
    </row>
    <row r="3" spans="1:37" x14ac:dyDescent="0.2">
      <c r="A3" s="631"/>
      <c r="B3" s="631"/>
      <c r="C3" s="641"/>
      <c r="D3" s="642"/>
      <c r="E3" s="290"/>
      <c r="F3" s="624" t="s">
        <v>5</v>
      </c>
      <c r="G3" s="291" t="s">
        <v>6</v>
      </c>
      <c r="H3" s="301" t="s">
        <v>7</v>
      </c>
      <c r="I3" s="291" t="s">
        <v>8</v>
      </c>
      <c r="J3" s="301" t="s">
        <v>9</v>
      </c>
      <c r="K3" s="291" t="s">
        <v>10</v>
      </c>
      <c r="L3" s="301" t="s">
        <v>11</v>
      </c>
      <c r="M3" s="291" t="s">
        <v>12</v>
      </c>
      <c r="N3" s="301" t="s">
        <v>13</v>
      </c>
      <c r="O3" s="291" t="s">
        <v>14</v>
      </c>
      <c r="P3" s="301" t="s">
        <v>15</v>
      </c>
      <c r="Q3" s="291" t="s">
        <v>16</v>
      </c>
      <c r="R3" s="301" t="s">
        <v>17</v>
      </c>
      <c r="S3" s="301" t="s">
        <v>18</v>
      </c>
      <c r="T3" s="291" t="s">
        <v>19</v>
      </c>
      <c r="U3" s="291" t="s">
        <v>6</v>
      </c>
      <c r="V3" s="643" t="s">
        <v>7</v>
      </c>
      <c r="W3" s="291" t="s">
        <v>8</v>
      </c>
      <c r="X3" s="290" t="s">
        <v>9</v>
      </c>
      <c r="Y3" s="291" t="s">
        <v>10</v>
      </c>
      <c r="Z3" s="290" t="s">
        <v>11</v>
      </c>
      <c r="AA3" s="291" t="s">
        <v>12</v>
      </c>
      <c r="AB3" s="290" t="s">
        <v>13</v>
      </c>
      <c r="AC3" s="291" t="s">
        <v>14</v>
      </c>
      <c r="AD3" s="290" t="s">
        <v>15</v>
      </c>
      <c r="AE3" s="291" t="s">
        <v>16</v>
      </c>
      <c r="AF3" s="290" t="s">
        <v>17</v>
      </c>
      <c r="AG3" s="301" t="s">
        <v>18</v>
      </c>
      <c r="AH3" s="640"/>
      <c r="AI3" s="631"/>
    </row>
    <row r="4" spans="1:37" x14ac:dyDescent="0.2">
      <c r="A4" s="631"/>
      <c r="B4" s="631"/>
      <c r="C4" s="644" t="s">
        <v>20</v>
      </c>
      <c r="D4" s="645"/>
      <c r="E4" s="30"/>
      <c r="F4" s="625" t="s">
        <v>22</v>
      </c>
      <c r="G4" s="298"/>
      <c r="H4" s="207"/>
      <c r="I4" s="298"/>
      <c r="J4" s="207"/>
      <c r="K4" s="298"/>
      <c r="L4" s="207"/>
      <c r="M4" s="298"/>
      <c r="N4" s="207"/>
      <c r="O4" s="298"/>
      <c r="P4" s="207"/>
      <c r="Q4" s="298"/>
      <c r="R4" s="207"/>
      <c r="S4" s="207"/>
      <c r="T4" s="298" t="s">
        <v>47</v>
      </c>
      <c r="U4" s="298"/>
      <c r="V4" s="296"/>
      <c r="W4" s="298"/>
      <c r="X4" s="30"/>
      <c r="Y4" s="298"/>
      <c r="Z4" s="30"/>
      <c r="AA4" s="298"/>
      <c r="AB4" s="30"/>
      <c r="AC4" s="298"/>
      <c r="AD4" s="30"/>
      <c r="AE4" s="298"/>
      <c r="AF4" s="30"/>
      <c r="AG4" s="207"/>
      <c r="AH4" s="640"/>
      <c r="AI4" s="631"/>
    </row>
    <row r="5" spans="1:37" x14ac:dyDescent="0.2">
      <c r="A5" s="631"/>
      <c r="B5" s="631"/>
      <c r="C5" s="641"/>
      <c r="D5" s="646"/>
      <c r="E5" s="290"/>
      <c r="F5" s="302"/>
      <c r="G5" s="302"/>
      <c r="H5" s="287"/>
      <c r="I5" s="302"/>
      <c r="J5" s="290"/>
      <c r="K5" s="302"/>
      <c r="L5" s="290"/>
      <c r="M5" s="302"/>
      <c r="N5" s="290"/>
      <c r="O5" s="302"/>
      <c r="P5" s="290"/>
      <c r="Q5" s="302"/>
      <c r="R5" s="290"/>
      <c r="S5" s="171"/>
      <c r="T5" s="302"/>
      <c r="U5" s="302"/>
      <c r="V5" s="287"/>
      <c r="W5" s="302"/>
      <c r="X5" s="290"/>
      <c r="Y5" s="302"/>
      <c r="Z5" s="290"/>
      <c r="AA5" s="302"/>
      <c r="AB5" s="290"/>
      <c r="AC5" s="302"/>
      <c r="AD5" s="290"/>
      <c r="AE5" s="302"/>
      <c r="AF5" s="290"/>
      <c r="AG5" s="171"/>
      <c r="AH5" s="640"/>
      <c r="AI5" s="631"/>
    </row>
    <row r="6" spans="1:37" x14ac:dyDescent="0.2">
      <c r="A6" s="631"/>
      <c r="B6" s="631"/>
      <c r="C6" s="647" t="s">
        <v>590</v>
      </c>
      <c r="D6" s="642"/>
      <c r="E6" s="87"/>
      <c r="F6" s="171">
        <f>SUM(F7:F38)</f>
        <v>17167000</v>
      </c>
      <c r="G6" s="171">
        <f>SUM(G7:G38)</f>
        <v>1236489</v>
      </c>
      <c r="H6" s="171">
        <f t="shared" ref="H6:R6" si="0">SUM(H7:H38)</f>
        <v>2807140</v>
      </c>
      <c r="I6" s="171">
        <f>SUM(I7:I38)</f>
        <v>3319954</v>
      </c>
      <c r="J6" s="171">
        <f>SUM(J7:J38)</f>
        <v>3550323</v>
      </c>
      <c r="K6" s="171">
        <f t="shared" si="0"/>
        <v>3161507</v>
      </c>
      <c r="L6" s="171">
        <f>SUM(L7:L38)</f>
        <v>1941577</v>
      </c>
      <c r="M6" s="171">
        <f t="shared" si="0"/>
        <v>0</v>
      </c>
      <c r="N6" s="171">
        <f t="shared" si="0"/>
        <v>0</v>
      </c>
      <c r="O6" s="171">
        <f>SUM(O7:O38)</f>
        <v>0</v>
      </c>
      <c r="P6" s="171">
        <f>SUM(P7:P38)</f>
        <v>0</v>
      </c>
      <c r="Q6" s="171">
        <f t="shared" si="0"/>
        <v>0</v>
      </c>
      <c r="R6" s="171">
        <f t="shared" si="0"/>
        <v>0</v>
      </c>
      <c r="S6" s="171">
        <f t="shared" ref="S6:AF6" si="1">SUM(S7:S38)</f>
        <v>16016990</v>
      </c>
      <c r="T6" s="171">
        <f t="shared" si="1"/>
        <v>12801333</v>
      </c>
      <c r="U6" s="171">
        <f t="shared" si="1"/>
        <v>1191518</v>
      </c>
      <c r="V6" s="171">
        <f t="shared" si="1"/>
        <v>5522378</v>
      </c>
      <c r="W6" s="171">
        <f t="shared" si="1"/>
        <v>193328</v>
      </c>
      <c r="X6" s="171">
        <f t="shared" si="1"/>
        <v>236828</v>
      </c>
      <c r="Y6" s="171">
        <f t="shared" si="1"/>
        <v>536881</v>
      </c>
      <c r="Z6" s="171">
        <f t="shared" si="1"/>
        <v>309645</v>
      </c>
      <c r="AA6" s="171">
        <f t="shared" si="1"/>
        <v>149579</v>
      </c>
      <c r="AB6" s="171">
        <f t="shared" si="1"/>
        <v>389977</v>
      </c>
      <c r="AC6" s="171">
        <f t="shared" si="1"/>
        <v>143285</v>
      </c>
      <c r="AD6" s="171">
        <f t="shared" si="1"/>
        <v>307553</v>
      </c>
      <c r="AE6" s="171">
        <f t="shared" si="1"/>
        <v>558415</v>
      </c>
      <c r="AF6" s="171">
        <f t="shared" si="1"/>
        <v>3261946</v>
      </c>
      <c r="AG6" s="171">
        <f>SUM(AG7:AG38)</f>
        <v>7990578</v>
      </c>
      <c r="AH6" s="648"/>
      <c r="AI6" s="631"/>
      <c r="AJ6" s="649"/>
      <c r="AK6" s="649"/>
    </row>
    <row r="7" spans="1:37" ht="12" hidden="1" customHeight="1" x14ac:dyDescent="0.2">
      <c r="A7" s="631"/>
      <c r="B7" s="631"/>
      <c r="C7" s="647"/>
      <c r="D7" s="39" t="s">
        <v>591</v>
      </c>
      <c r="E7" s="650"/>
      <c r="F7" s="157">
        <v>0</v>
      </c>
      <c r="G7" s="157">
        <v>0</v>
      </c>
      <c r="H7" s="157">
        <v>0</v>
      </c>
      <c r="I7" s="157">
        <v>0</v>
      </c>
      <c r="J7" s="157">
        <v>0</v>
      </c>
      <c r="K7" s="157">
        <v>0</v>
      </c>
      <c r="L7" s="157">
        <v>0</v>
      </c>
      <c r="M7" s="157">
        <v>0</v>
      </c>
      <c r="N7" s="157">
        <v>0</v>
      </c>
      <c r="O7" s="157">
        <v>0</v>
      </c>
      <c r="P7" s="157">
        <v>0</v>
      </c>
      <c r="Q7" s="157">
        <v>0</v>
      </c>
      <c r="R7" s="157">
        <v>0</v>
      </c>
      <c r="S7" s="618">
        <f>SUM(G7:R7)</f>
        <v>0</v>
      </c>
      <c r="T7" s="157">
        <v>0</v>
      </c>
      <c r="U7" s="157">
        <v>0</v>
      </c>
      <c r="V7" s="157">
        <v>0</v>
      </c>
      <c r="W7" s="157">
        <v>0</v>
      </c>
      <c r="X7" s="157">
        <v>0</v>
      </c>
      <c r="Y7" s="157">
        <v>0</v>
      </c>
      <c r="Z7" s="157">
        <v>0</v>
      </c>
      <c r="AA7" s="157">
        <v>0</v>
      </c>
      <c r="AB7" s="157">
        <v>0</v>
      </c>
      <c r="AC7" s="157">
        <v>0</v>
      </c>
      <c r="AD7" s="157">
        <v>0</v>
      </c>
      <c r="AE7" s="157">
        <v>0</v>
      </c>
      <c r="AF7" s="157">
        <v>0</v>
      </c>
      <c r="AG7" s="618">
        <f t="shared" ref="AG7:AG20" si="2">SUM(U7:U7)</f>
        <v>0</v>
      </c>
      <c r="AH7" s="651"/>
      <c r="AI7" s="631"/>
      <c r="AJ7" s="649"/>
      <c r="AK7" s="649"/>
    </row>
    <row r="8" spans="1:37" ht="12.75" hidden="1" customHeight="1" x14ac:dyDescent="0.2">
      <c r="A8" s="631"/>
      <c r="B8" s="631"/>
      <c r="C8" s="647"/>
      <c r="D8" s="652" t="s">
        <v>592</v>
      </c>
      <c r="E8" s="650"/>
      <c r="F8" s="157">
        <v>0</v>
      </c>
      <c r="G8" s="157">
        <v>0</v>
      </c>
      <c r="H8" s="157">
        <v>0</v>
      </c>
      <c r="I8" s="157">
        <v>0</v>
      </c>
      <c r="J8" s="157">
        <v>0</v>
      </c>
      <c r="K8" s="157">
        <v>0</v>
      </c>
      <c r="L8" s="157">
        <v>0</v>
      </c>
      <c r="M8" s="157">
        <v>0</v>
      </c>
      <c r="N8" s="157">
        <v>0</v>
      </c>
      <c r="O8" s="157">
        <v>0</v>
      </c>
      <c r="P8" s="157">
        <v>0</v>
      </c>
      <c r="Q8" s="157">
        <v>0</v>
      </c>
      <c r="R8" s="157">
        <v>0</v>
      </c>
      <c r="S8" s="618">
        <f t="shared" ref="S8:S34" si="3">SUM(G8:R8)</f>
        <v>0</v>
      </c>
      <c r="T8" s="157">
        <v>0</v>
      </c>
      <c r="U8" s="157">
        <v>0</v>
      </c>
      <c r="V8" s="157">
        <v>0</v>
      </c>
      <c r="W8" s="157">
        <v>0</v>
      </c>
      <c r="X8" s="157">
        <v>0</v>
      </c>
      <c r="Y8" s="157">
        <v>0</v>
      </c>
      <c r="Z8" s="157">
        <v>0</v>
      </c>
      <c r="AA8" s="157">
        <v>0</v>
      </c>
      <c r="AB8" s="157">
        <v>0</v>
      </c>
      <c r="AC8" s="157">
        <v>0</v>
      </c>
      <c r="AD8" s="157">
        <v>0</v>
      </c>
      <c r="AE8" s="157">
        <v>0</v>
      </c>
      <c r="AF8" s="157">
        <v>0</v>
      </c>
      <c r="AG8" s="618">
        <f t="shared" si="2"/>
        <v>0</v>
      </c>
      <c r="AH8" s="651"/>
      <c r="AI8" s="631"/>
      <c r="AJ8" s="649"/>
      <c r="AK8" s="649"/>
    </row>
    <row r="9" spans="1:37" ht="12.75" hidden="1" customHeight="1" x14ac:dyDescent="0.2">
      <c r="A9" s="631"/>
      <c r="B9" s="631"/>
      <c r="C9" s="647"/>
      <c r="D9" s="652" t="s">
        <v>593</v>
      </c>
      <c r="E9" s="650"/>
      <c r="F9" s="157">
        <v>0</v>
      </c>
      <c r="G9" s="157">
        <v>0</v>
      </c>
      <c r="H9" s="157">
        <v>0</v>
      </c>
      <c r="I9" s="157">
        <v>0</v>
      </c>
      <c r="J9" s="157">
        <v>0</v>
      </c>
      <c r="K9" s="157">
        <v>0</v>
      </c>
      <c r="L9" s="157">
        <v>0</v>
      </c>
      <c r="M9" s="157">
        <v>0</v>
      </c>
      <c r="N9" s="157">
        <v>0</v>
      </c>
      <c r="O9" s="157">
        <v>0</v>
      </c>
      <c r="P9" s="157">
        <v>0</v>
      </c>
      <c r="Q9" s="157">
        <v>0</v>
      </c>
      <c r="R9" s="157">
        <v>0</v>
      </c>
      <c r="S9" s="618">
        <f t="shared" si="3"/>
        <v>0</v>
      </c>
      <c r="T9" s="157">
        <v>0</v>
      </c>
      <c r="U9" s="157">
        <v>0</v>
      </c>
      <c r="V9" s="157">
        <v>0</v>
      </c>
      <c r="W9" s="157">
        <v>0</v>
      </c>
      <c r="X9" s="157">
        <v>0</v>
      </c>
      <c r="Y9" s="157">
        <v>0</v>
      </c>
      <c r="Z9" s="157">
        <v>0</v>
      </c>
      <c r="AA9" s="157">
        <v>0</v>
      </c>
      <c r="AB9" s="157">
        <v>0</v>
      </c>
      <c r="AC9" s="157">
        <v>0</v>
      </c>
      <c r="AD9" s="157">
        <v>0</v>
      </c>
      <c r="AE9" s="157">
        <v>0</v>
      </c>
      <c r="AF9" s="157">
        <v>0</v>
      </c>
      <c r="AG9" s="618">
        <f t="shared" si="2"/>
        <v>0</v>
      </c>
      <c r="AH9" s="651"/>
      <c r="AI9" s="631"/>
      <c r="AJ9" s="649"/>
      <c r="AK9" s="649"/>
    </row>
    <row r="10" spans="1:37" ht="12.75" hidden="1" customHeight="1" x14ac:dyDescent="0.2">
      <c r="A10" s="631"/>
      <c r="B10" s="631"/>
      <c r="C10" s="647"/>
      <c r="D10" s="39" t="s">
        <v>594</v>
      </c>
      <c r="E10" s="653"/>
      <c r="F10" s="157">
        <v>0</v>
      </c>
      <c r="G10" s="157">
        <v>0</v>
      </c>
      <c r="H10" s="157">
        <v>0</v>
      </c>
      <c r="I10" s="157">
        <v>0</v>
      </c>
      <c r="J10" s="157">
        <v>0</v>
      </c>
      <c r="K10" s="157">
        <v>0</v>
      </c>
      <c r="L10" s="157">
        <v>0</v>
      </c>
      <c r="M10" s="157">
        <v>0</v>
      </c>
      <c r="N10" s="157">
        <v>0</v>
      </c>
      <c r="O10" s="157">
        <v>0</v>
      </c>
      <c r="P10" s="157">
        <v>0</v>
      </c>
      <c r="Q10" s="157">
        <v>0</v>
      </c>
      <c r="R10" s="157">
        <v>0</v>
      </c>
      <c r="S10" s="618">
        <f>SUM(G10:R10)</f>
        <v>0</v>
      </c>
      <c r="T10" s="157">
        <v>0</v>
      </c>
      <c r="U10" s="157">
        <v>0</v>
      </c>
      <c r="V10" s="157">
        <v>0</v>
      </c>
      <c r="W10" s="157">
        <v>0</v>
      </c>
      <c r="X10" s="157">
        <v>0</v>
      </c>
      <c r="Y10" s="157">
        <v>0</v>
      </c>
      <c r="Z10" s="157">
        <v>0</v>
      </c>
      <c r="AA10" s="157">
        <v>0</v>
      </c>
      <c r="AB10" s="157">
        <v>0</v>
      </c>
      <c r="AC10" s="157">
        <v>0</v>
      </c>
      <c r="AD10" s="157">
        <v>0</v>
      </c>
      <c r="AE10" s="157">
        <v>0</v>
      </c>
      <c r="AF10" s="157">
        <v>0</v>
      </c>
      <c r="AG10" s="618">
        <f t="shared" si="2"/>
        <v>0</v>
      </c>
      <c r="AH10" s="651"/>
      <c r="AI10" s="631"/>
      <c r="AJ10" s="649"/>
      <c r="AK10" s="649"/>
    </row>
    <row r="11" spans="1:37" hidden="1" x14ac:dyDescent="0.2">
      <c r="A11" s="631"/>
      <c r="B11" s="631"/>
      <c r="C11" s="647"/>
      <c r="D11" s="652" t="s">
        <v>595</v>
      </c>
      <c r="E11" s="650"/>
      <c r="F11" s="157">
        <v>0</v>
      </c>
      <c r="G11" s="157">
        <v>0</v>
      </c>
      <c r="H11" s="157">
        <v>0</v>
      </c>
      <c r="I11" s="157">
        <v>0</v>
      </c>
      <c r="J11" s="157">
        <v>0</v>
      </c>
      <c r="K11" s="157">
        <v>0</v>
      </c>
      <c r="L11" s="157">
        <v>0</v>
      </c>
      <c r="M11" s="157">
        <v>0</v>
      </c>
      <c r="N11" s="157">
        <v>0</v>
      </c>
      <c r="O11" s="157">
        <v>0</v>
      </c>
      <c r="P11" s="157">
        <v>0</v>
      </c>
      <c r="Q11" s="157">
        <v>0</v>
      </c>
      <c r="R11" s="157">
        <v>0</v>
      </c>
      <c r="S11" s="618">
        <f>SUM(G11:R11)</f>
        <v>0</v>
      </c>
      <c r="T11" s="157">
        <v>0</v>
      </c>
      <c r="U11" s="157">
        <v>0</v>
      </c>
      <c r="V11" s="157">
        <v>0</v>
      </c>
      <c r="W11" s="157">
        <v>0</v>
      </c>
      <c r="X11" s="157">
        <v>0</v>
      </c>
      <c r="Y11" s="157">
        <v>0</v>
      </c>
      <c r="Z11" s="157">
        <v>0</v>
      </c>
      <c r="AA11" s="157">
        <v>0</v>
      </c>
      <c r="AB11" s="157">
        <v>0</v>
      </c>
      <c r="AC11" s="157">
        <v>0</v>
      </c>
      <c r="AD11" s="157">
        <v>0</v>
      </c>
      <c r="AE11" s="157">
        <v>0</v>
      </c>
      <c r="AF11" s="157">
        <v>0</v>
      </c>
      <c r="AG11" s="618">
        <f t="shared" si="2"/>
        <v>0</v>
      </c>
      <c r="AH11" s="651"/>
      <c r="AI11" s="631"/>
      <c r="AJ11" s="649"/>
      <c r="AK11" s="649"/>
    </row>
    <row r="12" spans="1:37" ht="12.75" hidden="1" customHeight="1" x14ac:dyDescent="0.2">
      <c r="A12" s="631"/>
      <c r="B12" s="631"/>
      <c r="C12" s="647"/>
      <c r="D12" s="652" t="s">
        <v>596</v>
      </c>
      <c r="E12" s="650"/>
      <c r="F12" s="157">
        <v>0</v>
      </c>
      <c r="G12" s="157">
        <v>0</v>
      </c>
      <c r="H12" s="157">
        <v>0</v>
      </c>
      <c r="I12" s="157">
        <v>0</v>
      </c>
      <c r="J12" s="157">
        <v>0</v>
      </c>
      <c r="K12" s="157">
        <v>0</v>
      </c>
      <c r="L12" s="157">
        <v>0</v>
      </c>
      <c r="M12" s="157">
        <v>0</v>
      </c>
      <c r="N12" s="157">
        <v>0</v>
      </c>
      <c r="O12" s="157">
        <v>0</v>
      </c>
      <c r="P12" s="157">
        <v>0</v>
      </c>
      <c r="Q12" s="157">
        <v>0</v>
      </c>
      <c r="R12" s="157">
        <v>0</v>
      </c>
      <c r="S12" s="618">
        <f t="shared" si="3"/>
        <v>0</v>
      </c>
      <c r="T12" s="157">
        <v>0</v>
      </c>
      <c r="U12" s="157">
        <v>0</v>
      </c>
      <c r="V12" s="157">
        <v>0</v>
      </c>
      <c r="W12" s="157">
        <v>0</v>
      </c>
      <c r="X12" s="157">
        <v>0</v>
      </c>
      <c r="Y12" s="157">
        <v>0</v>
      </c>
      <c r="Z12" s="157">
        <v>0</v>
      </c>
      <c r="AA12" s="157">
        <v>0</v>
      </c>
      <c r="AB12" s="157">
        <v>0</v>
      </c>
      <c r="AC12" s="157">
        <v>0</v>
      </c>
      <c r="AD12" s="157">
        <v>0</v>
      </c>
      <c r="AE12" s="157">
        <v>0</v>
      </c>
      <c r="AF12" s="157">
        <v>0</v>
      </c>
      <c r="AG12" s="618">
        <f t="shared" si="2"/>
        <v>0</v>
      </c>
      <c r="AH12" s="651"/>
      <c r="AI12" s="631"/>
      <c r="AJ12" s="649"/>
      <c r="AK12" s="649"/>
    </row>
    <row r="13" spans="1:37" ht="12.75" hidden="1" customHeight="1" x14ac:dyDescent="0.2">
      <c r="A13" s="631"/>
      <c r="B13" s="631"/>
      <c r="C13" s="647"/>
      <c r="D13" s="39" t="s">
        <v>597</v>
      </c>
      <c r="E13" s="650"/>
      <c r="F13" s="157">
        <v>0</v>
      </c>
      <c r="G13" s="618">
        <v>0</v>
      </c>
      <c r="H13" s="618">
        <v>0</v>
      </c>
      <c r="I13" s="618">
        <v>0</v>
      </c>
      <c r="J13" s="618">
        <v>0</v>
      </c>
      <c r="K13" s="618">
        <v>0</v>
      </c>
      <c r="L13" s="618">
        <v>0</v>
      </c>
      <c r="M13" s="618">
        <v>0</v>
      </c>
      <c r="N13" s="618">
        <v>0</v>
      </c>
      <c r="O13" s="618">
        <v>0</v>
      </c>
      <c r="P13" s="618">
        <v>0</v>
      </c>
      <c r="Q13" s="618">
        <v>0</v>
      </c>
      <c r="R13" s="618">
        <v>0</v>
      </c>
      <c r="S13" s="618">
        <f t="shared" si="3"/>
        <v>0</v>
      </c>
      <c r="T13" s="157">
        <v>0</v>
      </c>
      <c r="U13" s="618">
        <v>0</v>
      </c>
      <c r="V13" s="618">
        <v>0</v>
      </c>
      <c r="W13" s="618">
        <v>0</v>
      </c>
      <c r="X13" s="618">
        <v>0</v>
      </c>
      <c r="Y13" s="618">
        <v>0</v>
      </c>
      <c r="Z13" s="618">
        <v>0</v>
      </c>
      <c r="AA13" s="618">
        <v>0</v>
      </c>
      <c r="AB13" s="618">
        <v>0</v>
      </c>
      <c r="AC13" s="618">
        <v>0</v>
      </c>
      <c r="AD13" s="618">
        <v>0</v>
      </c>
      <c r="AE13" s="618">
        <v>0</v>
      </c>
      <c r="AF13" s="618">
        <v>0</v>
      </c>
      <c r="AG13" s="618">
        <f t="shared" si="2"/>
        <v>0</v>
      </c>
      <c r="AH13" s="651"/>
      <c r="AI13" s="631"/>
      <c r="AJ13" s="649"/>
      <c r="AK13" s="649"/>
    </row>
    <row r="14" spans="1:37" ht="12.75" hidden="1" customHeight="1" x14ac:dyDescent="0.2">
      <c r="A14" s="631"/>
      <c r="B14" s="631"/>
      <c r="C14" s="647"/>
      <c r="D14" s="652" t="s">
        <v>598</v>
      </c>
      <c r="E14" s="650"/>
      <c r="F14" s="157">
        <v>0</v>
      </c>
      <c r="G14" s="157">
        <v>0</v>
      </c>
      <c r="H14" s="157">
        <v>0</v>
      </c>
      <c r="I14" s="157">
        <v>0</v>
      </c>
      <c r="J14" s="157">
        <v>0</v>
      </c>
      <c r="K14" s="157">
        <v>0</v>
      </c>
      <c r="L14" s="157">
        <v>0</v>
      </c>
      <c r="M14" s="157">
        <v>0</v>
      </c>
      <c r="N14" s="157">
        <v>0</v>
      </c>
      <c r="O14" s="157">
        <v>0</v>
      </c>
      <c r="P14" s="157">
        <v>0</v>
      </c>
      <c r="Q14" s="157">
        <v>0</v>
      </c>
      <c r="R14" s="157">
        <v>0</v>
      </c>
      <c r="S14" s="618">
        <f t="shared" si="3"/>
        <v>0</v>
      </c>
      <c r="T14" s="157">
        <v>0</v>
      </c>
      <c r="U14" s="157">
        <v>0</v>
      </c>
      <c r="V14" s="157">
        <v>0</v>
      </c>
      <c r="W14" s="157">
        <v>0</v>
      </c>
      <c r="X14" s="157">
        <v>0</v>
      </c>
      <c r="Y14" s="157">
        <v>0</v>
      </c>
      <c r="Z14" s="157">
        <v>0</v>
      </c>
      <c r="AA14" s="157">
        <v>0</v>
      </c>
      <c r="AB14" s="157">
        <v>0</v>
      </c>
      <c r="AC14" s="157">
        <v>0</v>
      </c>
      <c r="AD14" s="157">
        <v>0</v>
      </c>
      <c r="AE14" s="157">
        <v>0</v>
      </c>
      <c r="AF14" s="157">
        <v>0</v>
      </c>
      <c r="AG14" s="618">
        <f t="shared" si="2"/>
        <v>0</v>
      </c>
      <c r="AH14" s="651"/>
      <c r="AI14" s="631"/>
      <c r="AJ14" s="649"/>
      <c r="AK14" s="649"/>
    </row>
    <row r="15" spans="1:37" ht="12.75" hidden="1" customHeight="1" x14ac:dyDescent="0.2">
      <c r="A15" s="631"/>
      <c r="B15" s="631"/>
      <c r="C15" s="647"/>
      <c r="D15" s="652" t="s">
        <v>599</v>
      </c>
      <c r="E15" s="650"/>
      <c r="F15" s="157">
        <v>0</v>
      </c>
      <c r="G15" s="157">
        <v>0</v>
      </c>
      <c r="H15" s="157">
        <v>0</v>
      </c>
      <c r="I15" s="157">
        <v>0</v>
      </c>
      <c r="J15" s="157">
        <v>0</v>
      </c>
      <c r="K15" s="157">
        <v>0</v>
      </c>
      <c r="L15" s="157">
        <v>0</v>
      </c>
      <c r="M15" s="157">
        <v>0</v>
      </c>
      <c r="N15" s="157">
        <v>0</v>
      </c>
      <c r="O15" s="157">
        <v>0</v>
      </c>
      <c r="P15" s="157">
        <v>0</v>
      </c>
      <c r="Q15" s="157">
        <v>0</v>
      </c>
      <c r="R15" s="157">
        <v>0</v>
      </c>
      <c r="S15" s="618">
        <f t="shared" si="3"/>
        <v>0</v>
      </c>
      <c r="T15" s="157">
        <v>0</v>
      </c>
      <c r="U15" s="157">
        <v>0</v>
      </c>
      <c r="V15" s="157">
        <v>0</v>
      </c>
      <c r="W15" s="157">
        <v>0</v>
      </c>
      <c r="X15" s="157">
        <v>0</v>
      </c>
      <c r="Y15" s="157">
        <v>0</v>
      </c>
      <c r="Z15" s="157">
        <v>0</v>
      </c>
      <c r="AA15" s="157">
        <v>0</v>
      </c>
      <c r="AB15" s="157">
        <v>0</v>
      </c>
      <c r="AC15" s="157">
        <v>0</v>
      </c>
      <c r="AD15" s="157">
        <v>0</v>
      </c>
      <c r="AE15" s="157">
        <v>0</v>
      </c>
      <c r="AF15" s="157">
        <v>0</v>
      </c>
      <c r="AG15" s="618">
        <f t="shared" si="2"/>
        <v>0</v>
      </c>
      <c r="AH15" s="651"/>
      <c r="AI15" s="631"/>
      <c r="AJ15" s="649"/>
      <c r="AK15" s="649"/>
    </row>
    <row r="16" spans="1:37" ht="12.75" hidden="1" customHeight="1" x14ac:dyDescent="0.2">
      <c r="A16" s="631"/>
      <c r="B16" s="631"/>
      <c r="C16" s="647"/>
      <c r="D16" s="652" t="s">
        <v>600</v>
      </c>
      <c r="E16" s="650"/>
      <c r="F16" s="157">
        <v>0</v>
      </c>
      <c r="G16" s="618">
        <v>0</v>
      </c>
      <c r="H16" s="618">
        <v>0</v>
      </c>
      <c r="I16" s="618">
        <v>0</v>
      </c>
      <c r="J16" s="618">
        <v>0</v>
      </c>
      <c r="K16" s="618">
        <v>0</v>
      </c>
      <c r="L16" s="618">
        <v>0</v>
      </c>
      <c r="M16" s="618">
        <v>0</v>
      </c>
      <c r="N16" s="618">
        <v>0</v>
      </c>
      <c r="O16" s="618">
        <v>0</v>
      </c>
      <c r="P16" s="618">
        <v>0</v>
      </c>
      <c r="Q16" s="618">
        <v>0</v>
      </c>
      <c r="R16" s="618">
        <v>0</v>
      </c>
      <c r="S16" s="618">
        <f t="shared" si="3"/>
        <v>0</v>
      </c>
      <c r="T16" s="157">
        <v>0</v>
      </c>
      <c r="U16" s="618">
        <v>0</v>
      </c>
      <c r="V16" s="618">
        <v>0</v>
      </c>
      <c r="W16" s="618">
        <v>0</v>
      </c>
      <c r="X16" s="618">
        <v>0</v>
      </c>
      <c r="Y16" s="618">
        <v>0</v>
      </c>
      <c r="Z16" s="618">
        <v>0</v>
      </c>
      <c r="AA16" s="618">
        <v>0</v>
      </c>
      <c r="AB16" s="618">
        <v>0</v>
      </c>
      <c r="AC16" s="618">
        <v>0</v>
      </c>
      <c r="AD16" s="618">
        <v>0</v>
      </c>
      <c r="AE16" s="618">
        <v>0</v>
      </c>
      <c r="AF16" s="618">
        <v>0</v>
      </c>
      <c r="AG16" s="618">
        <f t="shared" si="2"/>
        <v>0</v>
      </c>
      <c r="AH16" s="651"/>
      <c r="AI16" s="631"/>
      <c r="AJ16" s="649"/>
      <c r="AK16" s="649"/>
    </row>
    <row r="17" spans="1:37" ht="12.75" hidden="1" customHeight="1" x14ac:dyDescent="0.2">
      <c r="A17" s="631"/>
      <c r="B17" s="631"/>
      <c r="C17" s="647"/>
      <c r="D17" s="39" t="s">
        <v>601</v>
      </c>
      <c r="E17" s="650"/>
      <c r="F17" s="157">
        <v>0</v>
      </c>
      <c r="G17" s="157">
        <v>0</v>
      </c>
      <c r="H17" s="157">
        <v>0</v>
      </c>
      <c r="I17" s="157">
        <v>0</v>
      </c>
      <c r="J17" s="157">
        <v>0</v>
      </c>
      <c r="K17" s="157">
        <v>0</v>
      </c>
      <c r="L17" s="157">
        <v>0</v>
      </c>
      <c r="M17" s="157">
        <v>0</v>
      </c>
      <c r="N17" s="157">
        <v>0</v>
      </c>
      <c r="O17" s="157">
        <v>0</v>
      </c>
      <c r="P17" s="157">
        <v>0</v>
      </c>
      <c r="Q17" s="157">
        <v>0</v>
      </c>
      <c r="R17" s="157">
        <v>0</v>
      </c>
      <c r="S17" s="618">
        <f t="shared" si="3"/>
        <v>0</v>
      </c>
      <c r="T17" s="157">
        <v>0</v>
      </c>
      <c r="U17" s="157">
        <v>0</v>
      </c>
      <c r="V17" s="157">
        <v>0</v>
      </c>
      <c r="W17" s="157">
        <v>0</v>
      </c>
      <c r="X17" s="157">
        <v>0</v>
      </c>
      <c r="Y17" s="157">
        <v>0</v>
      </c>
      <c r="Z17" s="157">
        <v>0</v>
      </c>
      <c r="AA17" s="157">
        <v>0</v>
      </c>
      <c r="AB17" s="157">
        <v>0</v>
      </c>
      <c r="AC17" s="157">
        <v>0</v>
      </c>
      <c r="AD17" s="157">
        <v>0</v>
      </c>
      <c r="AE17" s="157">
        <v>0</v>
      </c>
      <c r="AF17" s="157">
        <v>0</v>
      </c>
      <c r="AG17" s="618">
        <f t="shared" si="2"/>
        <v>0</v>
      </c>
      <c r="AH17" s="651"/>
      <c r="AI17" s="631"/>
      <c r="AJ17" s="649"/>
      <c r="AK17" s="649"/>
    </row>
    <row r="18" spans="1:37" x14ac:dyDescent="0.2">
      <c r="A18" s="631"/>
      <c r="B18" s="631"/>
      <c r="C18" s="647"/>
      <c r="D18" s="39" t="s">
        <v>602</v>
      </c>
      <c r="E18" s="650"/>
      <c r="F18" s="619">
        <v>0</v>
      </c>
      <c r="G18" s="619">
        <v>316</v>
      </c>
      <c r="H18" s="619">
        <v>168</v>
      </c>
      <c r="I18" s="619">
        <v>91</v>
      </c>
      <c r="J18" s="619">
        <v>138</v>
      </c>
      <c r="K18" s="619">
        <v>118</v>
      </c>
      <c r="L18" s="619">
        <v>206</v>
      </c>
      <c r="M18" s="619">
        <v>0</v>
      </c>
      <c r="N18" s="619">
        <v>0</v>
      </c>
      <c r="O18" s="619">
        <v>0</v>
      </c>
      <c r="P18" s="619">
        <v>0</v>
      </c>
      <c r="Q18" s="619">
        <v>0</v>
      </c>
      <c r="R18" s="619">
        <v>0</v>
      </c>
      <c r="S18" s="618">
        <f>SUM(G18:R18)</f>
        <v>1037</v>
      </c>
      <c r="T18" s="619">
        <v>2345</v>
      </c>
      <c r="U18" s="619">
        <v>228</v>
      </c>
      <c r="V18" s="619">
        <v>407</v>
      </c>
      <c r="W18" s="619">
        <v>198</v>
      </c>
      <c r="X18" s="619">
        <v>167</v>
      </c>
      <c r="Y18" s="619">
        <v>84</v>
      </c>
      <c r="Z18" s="619">
        <v>204</v>
      </c>
      <c r="AA18" s="619">
        <v>142</v>
      </c>
      <c r="AB18" s="619">
        <v>262</v>
      </c>
      <c r="AC18" s="619">
        <v>130</v>
      </c>
      <c r="AD18" s="619">
        <v>173</v>
      </c>
      <c r="AE18" s="619">
        <v>168</v>
      </c>
      <c r="AF18" s="619">
        <v>182</v>
      </c>
      <c r="AG18" s="618">
        <f>SUM(U18:Z18)</f>
        <v>1288</v>
      </c>
      <c r="AH18" s="651"/>
      <c r="AI18" s="631"/>
      <c r="AJ18" s="649"/>
      <c r="AK18" s="649"/>
    </row>
    <row r="19" spans="1:37" ht="12.75" hidden="1" customHeight="1" x14ac:dyDescent="0.2">
      <c r="A19" s="631"/>
      <c r="B19" s="631"/>
      <c r="C19" s="647"/>
      <c r="D19" s="39" t="s">
        <v>603</v>
      </c>
      <c r="E19" s="650"/>
      <c r="F19" s="619">
        <v>0</v>
      </c>
      <c r="G19" s="619">
        <v>0</v>
      </c>
      <c r="H19" s="619">
        <v>0</v>
      </c>
      <c r="I19" s="619">
        <v>0</v>
      </c>
      <c r="J19" s="619">
        <v>0</v>
      </c>
      <c r="K19" s="619">
        <v>0</v>
      </c>
      <c r="L19" s="619">
        <v>0</v>
      </c>
      <c r="M19" s="619">
        <v>0</v>
      </c>
      <c r="N19" s="619">
        <v>0</v>
      </c>
      <c r="O19" s="619">
        <v>0</v>
      </c>
      <c r="P19" s="619">
        <v>0</v>
      </c>
      <c r="Q19" s="619">
        <v>0</v>
      </c>
      <c r="R19" s="619">
        <v>0</v>
      </c>
      <c r="S19" s="618">
        <f t="shared" si="3"/>
        <v>0</v>
      </c>
      <c r="T19" s="619">
        <v>0</v>
      </c>
      <c r="U19" s="619">
        <v>0</v>
      </c>
      <c r="V19" s="619">
        <v>0</v>
      </c>
      <c r="W19" s="619">
        <v>0</v>
      </c>
      <c r="X19" s="619">
        <v>0</v>
      </c>
      <c r="Y19" s="619">
        <v>0</v>
      </c>
      <c r="Z19" s="619">
        <v>0</v>
      </c>
      <c r="AA19" s="619">
        <v>0</v>
      </c>
      <c r="AB19" s="619">
        <v>0</v>
      </c>
      <c r="AC19" s="619">
        <v>0</v>
      </c>
      <c r="AD19" s="619">
        <v>0</v>
      </c>
      <c r="AE19" s="619">
        <v>0</v>
      </c>
      <c r="AF19" s="619">
        <v>0</v>
      </c>
      <c r="AG19" s="618">
        <f t="shared" si="2"/>
        <v>0</v>
      </c>
      <c r="AH19" s="651"/>
      <c r="AI19" s="631"/>
      <c r="AJ19" s="649"/>
      <c r="AK19" s="649"/>
    </row>
    <row r="20" spans="1:37" ht="12.75" hidden="1" customHeight="1" x14ac:dyDescent="0.2">
      <c r="A20" s="631"/>
      <c r="B20" s="631"/>
      <c r="C20" s="647"/>
      <c r="D20" s="39" t="s">
        <v>604</v>
      </c>
      <c r="E20" s="650"/>
      <c r="F20" s="619">
        <v>0</v>
      </c>
      <c r="G20" s="619">
        <v>0</v>
      </c>
      <c r="H20" s="619">
        <v>0</v>
      </c>
      <c r="I20" s="619">
        <v>0</v>
      </c>
      <c r="J20" s="619">
        <v>0</v>
      </c>
      <c r="K20" s="619">
        <v>0</v>
      </c>
      <c r="L20" s="619">
        <v>0</v>
      </c>
      <c r="M20" s="619">
        <v>0</v>
      </c>
      <c r="N20" s="619">
        <v>0</v>
      </c>
      <c r="O20" s="619">
        <v>0</v>
      </c>
      <c r="P20" s="619">
        <v>0</v>
      </c>
      <c r="Q20" s="619">
        <v>0</v>
      </c>
      <c r="R20" s="619">
        <v>0</v>
      </c>
      <c r="S20" s="618">
        <f t="shared" si="3"/>
        <v>0</v>
      </c>
      <c r="T20" s="619">
        <v>0</v>
      </c>
      <c r="U20" s="619">
        <v>0</v>
      </c>
      <c r="V20" s="619">
        <v>0</v>
      </c>
      <c r="W20" s="619">
        <v>0</v>
      </c>
      <c r="X20" s="619">
        <v>0</v>
      </c>
      <c r="Y20" s="619">
        <v>0</v>
      </c>
      <c r="Z20" s="619">
        <v>0</v>
      </c>
      <c r="AA20" s="619">
        <v>0</v>
      </c>
      <c r="AB20" s="619">
        <v>0</v>
      </c>
      <c r="AC20" s="619">
        <v>0</v>
      </c>
      <c r="AD20" s="619">
        <v>0</v>
      </c>
      <c r="AE20" s="619">
        <v>0</v>
      </c>
      <c r="AF20" s="619">
        <v>0</v>
      </c>
      <c r="AG20" s="618">
        <f t="shared" si="2"/>
        <v>0</v>
      </c>
      <c r="AH20" s="651"/>
      <c r="AI20" s="631"/>
      <c r="AJ20" s="649"/>
      <c r="AK20" s="649"/>
    </row>
    <row r="21" spans="1:37" ht="12.75" customHeight="1" x14ac:dyDescent="0.2">
      <c r="A21" s="631"/>
      <c r="B21" s="631"/>
      <c r="C21" s="647"/>
      <c r="D21" s="652" t="s">
        <v>605</v>
      </c>
      <c r="E21" s="115"/>
      <c r="F21" s="619">
        <v>0</v>
      </c>
      <c r="G21" s="619">
        <v>0</v>
      </c>
      <c r="H21" s="619">
        <v>0</v>
      </c>
      <c r="I21" s="619">
        <v>0</v>
      </c>
      <c r="J21" s="619">
        <v>0</v>
      </c>
      <c r="K21" s="619">
        <v>0</v>
      </c>
      <c r="L21" s="619">
        <v>0</v>
      </c>
      <c r="M21" s="619">
        <v>0</v>
      </c>
      <c r="N21" s="619">
        <v>0</v>
      </c>
      <c r="O21" s="619">
        <v>0</v>
      </c>
      <c r="P21" s="619">
        <v>0</v>
      </c>
      <c r="Q21" s="619">
        <v>0</v>
      </c>
      <c r="R21" s="619">
        <v>0</v>
      </c>
      <c r="S21" s="618">
        <f>SUM(G21:R21)</f>
        <v>0</v>
      </c>
      <c r="T21" s="619">
        <v>378078</v>
      </c>
      <c r="U21" s="619">
        <v>0</v>
      </c>
      <c r="V21" s="619">
        <v>378078</v>
      </c>
      <c r="W21" s="619">
        <v>0</v>
      </c>
      <c r="X21" s="619">
        <v>0</v>
      </c>
      <c r="Y21" s="619">
        <v>0</v>
      </c>
      <c r="Z21" s="619">
        <v>0</v>
      </c>
      <c r="AA21" s="619">
        <v>0</v>
      </c>
      <c r="AB21" s="619">
        <v>0</v>
      </c>
      <c r="AC21" s="619">
        <v>0</v>
      </c>
      <c r="AD21" s="619">
        <v>0</v>
      </c>
      <c r="AE21" s="619">
        <v>0</v>
      </c>
      <c r="AF21" s="619">
        <v>0</v>
      </c>
      <c r="AG21" s="618">
        <f t="shared" ref="AG21:AG38" si="4">SUM(U21:Z21)</f>
        <v>378078</v>
      </c>
      <c r="AH21" s="651"/>
      <c r="AI21" s="631"/>
      <c r="AJ21" s="649"/>
      <c r="AK21" s="649"/>
    </row>
    <row r="22" spans="1:37" x14ac:dyDescent="0.2">
      <c r="A22" s="631"/>
      <c r="B22" s="631"/>
      <c r="C22" s="647"/>
      <c r="D22" s="652" t="s">
        <v>606</v>
      </c>
      <c r="E22" s="87"/>
      <c r="F22" s="619">
        <v>3000000</v>
      </c>
      <c r="G22" s="619">
        <v>376261</v>
      </c>
      <c r="H22" s="619">
        <v>1466990</v>
      </c>
      <c r="I22" s="619">
        <v>764417</v>
      </c>
      <c r="J22" s="619">
        <v>2780720</v>
      </c>
      <c r="K22" s="619">
        <v>1213553</v>
      </c>
      <c r="L22" s="619">
        <v>716835</v>
      </c>
      <c r="M22" s="619">
        <v>0</v>
      </c>
      <c r="N22" s="619">
        <v>0</v>
      </c>
      <c r="O22" s="619">
        <v>0</v>
      </c>
      <c r="P22" s="619">
        <v>0</v>
      </c>
      <c r="Q22" s="619">
        <v>0</v>
      </c>
      <c r="R22" s="619">
        <v>0</v>
      </c>
      <c r="S22" s="618">
        <f>SUM(G22:R22)</f>
        <v>7318776</v>
      </c>
      <c r="T22" s="619">
        <v>3462654</v>
      </c>
      <c r="U22" s="619">
        <v>236014</v>
      </c>
      <c r="V22" s="619">
        <v>324359</v>
      </c>
      <c r="W22" s="619">
        <v>183897</v>
      </c>
      <c r="X22" s="619">
        <v>236661</v>
      </c>
      <c r="Y22" s="619">
        <v>513409</v>
      </c>
      <c r="Z22" s="619">
        <v>241446</v>
      </c>
      <c r="AA22" s="619">
        <v>54544</v>
      </c>
      <c r="AB22" s="619">
        <v>368953</v>
      </c>
      <c r="AC22" s="619">
        <v>133269</v>
      </c>
      <c r="AD22" s="619">
        <v>279324</v>
      </c>
      <c r="AE22" s="619">
        <v>508862</v>
      </c>
      <c r="AF22" s="619">
        <v>381916</v>
      </c>
      <c r="AG22" s="618">
        <f t="shared" si="4"/>
        <v>1735786</v>
      </c>
      <c r="AH22" s="651"/>
      <c r="AI22" s="631"/>
      <c r="AJ22" s="654"/>
      <c r="AK22" s="649"/>
    </row>
    <row r="23" spans="1:37" ht="12.75" hidden="1" customHeight="1" x14ac:dyDescent="0.2">
      <c r="A23" s="631"/>
      <c r="B23" s="631"/>
      <c r="C23" s="647"/>
      <c r="D23" s="39" t="s">
        <v>607</v>
      </c>
      <c r="E23" s="650"/>
      <c r="F23" s="619">
        <v>0</v>
      </c>
      <c r="G23" s="619">
        <v>0</v>
      </c>
      <c r="H23" s="619">
        <v>0</v>
      </c>
      <c r="I23" s="619">
        <v>0</v>
      </c>
      <c r="J23" s="619">
        <v>0</v>
      </c>
      <c r="K23" s="619">
        <v>0</v>
      </c>
      <c r="L23" s="619">
        <v>0</v>
      </c>
      <c r="M23" s="619">
        <v>0</v>
      </c>
      <c r="N23" s="619">
        <v>0</v>
      </c>
      <c r="O23" s="619">
        <v>0</v>
      </c>
      <c r="P23" s="619">
        <v>0</v>
      </c>
      <c r="Q23" s="619">
        <v>0</v>
      </c>
      <c r="R23" s="619">
        <v>0</v>
      </c>
      <c r="S23" s="618">
        <f>SUM(G23:R23)</f>
        <v>0</v>
      </c>
      <c r="T23" s="619">
        <v>0</v>
      </c>
      <c r="U23" s="619">
        <v>0</v>
      </c>
      <c r="V23" s="619">
        <v>0</v>
      </c>
      <c r="W23" s="619">
        <v>0</v>
      </c>
      <c r="X23" s="619">
        <v>0</v>
      </c>
      <c r="Y23" s="619">
        <v>0</v>
      </c>
      <c r="Z23" s="619">
        <v>0</v>
      </c>
      <c r="AA23" s="619">
        <v>0</v>
      </c>
      <c r="AB23" s="619">
        <v>0</v>
      </c>
      <c r="AC23" s="619">
        <v>0</v>
      </c>
      <c r="AD23" s="619">
        <v>0</v>
      </c>
      <c r="AE23" s="619">
        <v>0</v>
      </c>
      <c r="AF23" s="619">
        <v>0</v>
      </c>
      <c r="AG23" s="618">
        <f t="shared" si="4"/>
        <v>0</v>
      </c>
      <c r="AH23" s="651"/>
      <c r="AI23" s="631"/>
      <c r="AJ23" s="649"/>
      <c r="AK23" s="649"/>
    </row>
    <row r="24" spans="1:37" ht="12.75" hidden="1" customHeight="1" x14ac:dyDescent="0.2">
      <c r="A24" s="631"/>
      <c r="B24" s="631"/>
      <c r="C24" s="647"/>
      <c r="D24" s="652" t="s">
        <v>608</v>
      </c>
      <c r="E24" s="650"/>
      <c r="F24" s="619">
        <v>0</v>
      </c>
      <c r="G24" s="619">
        <v>0</v>
      </c>
      <c r="H24" s="619">
        <v>0</v>
      </c>
      <c r="I24" s="619">
        <v>0</v>
      </c>
      <c r="J24" s="619">
        <v>0</v>
      </c>
      <c r="K24" s="619">
        <v>0</v>
      </c>
      <c r="L24" s="619">
        <v>0</v>
      </c>
      <c r="M24" s="619">
        <v>0</v>
      </c>
      <c r="N24" s="619">
        <v>0</v>
      </c>
      <c r="O24" s="619">
        <v>0</v>
      </c>
      <c r="P24" s="619">
        <v>0</v>
      </c>
      <c r="Q24" s="619">
        <v>0</v>
      </c>
      <c r="R24" s="619">
        <v>0</v>
      </c>
      <c r="S24" s="618">
        <f t="shared" si="3"/>
        <v>0</v>
      </c>
      <c r="T24" s="619">
        <v>0</v>
      </c>
      <c r="U24" s="619">
        <v>0</v>
      </c>
      <c r="V24" s="619">
        <v>0</v>
      </c>
      <c r="W24" s="619">
        <v>0</v>
      </c>
      <c r="X24" s="619">
        <v>0</v>
      </c>
      <c r="Y24" s="619">
        <v>0</v>
      </c>
      <c r="Z24" s="619">
        <v>0</v>
      </c>
      <c r="AA24" s="619">
        <v>0</v>
      </c>
      <c r="AB24" s="619">
        <v>0</v>
      </c>
      <c r="AC24" s="619">
        <v>0</v>
      </c>
      <c r="AD24" s="619">
        <v>0</v>
      </c>
      <c r="AE24" s="619">
        <v>0</v>
      </c>
      <c r="AF24" s="619">
        <v>0</v>
      </c>
      <c r="AG24" s="618">
        <f t="shared" si="4"/>
        <v>0</v>
      </c>
      <c r="AH24" s="651"/>
      <c r="AI24" s="631"/>
      <c r="AJ24" s="649"/>
      <c r="AK24" s="649"/>
    </row>
    <row r="25" spans="1:37" ht="12.75" hidden="1" customHeight="1" x14ac:dyDescent="0.2">
      <c r="A25" s="631"/>
      <c r="B25" s="631"/>
      <c r="C25" s="647"/>
      <c r="D25" s="652" t="s">
        <v>609</v>
      </c>
      <c r="E25" s="650"/>
      <c r="F25" s="619">
        <v>0</v>
      </c>
      <c r="G25" s="619">
        <v>0</v>
      </c>
      <c r="H25" s="619">
        <v>0</v>
      </c>
      <c r="I25" s="619">
        <v>0</v>
      </c>
      <c r="J25" s="619">
        <v>0</v>
      </c>
      <c r="K25" s="619">
        <v>0</v>
      </c>
      <c r="L25" s="619">
        <v>0</v>
      </c>
      <c r="M25" s="619">
        <v>0</v>
      </c>
      <c r="N25" s="619">
        <v>0</v>
      </c>
      <c r="O25" s="619">
        <v>0</v>
      </c>
      <c r="P25" s="619">
        <v>0</v>
      </c>
      <c r="Q25" s="619">
        <v>0</v>
      </c>
      <c r="R25" s="619">
        <v>0</v>
      </c>
      <c r="S25" s="618">
        <f t="shared" si="3"/>
        <v>0</v>
      </c>
      <c r="T25" s="619">
        <v>0</v>
      </c>
      <c r="U25" s="619">
        <v>0</v>
      </c>
      <c r="V25" s="619">
        <v>0</v>
      </c>
      <c r="W25" s="619">
        <v>0</v>
      </c>
      <c r="X25" s="619">
        <v>0</v>
      </c>
      <c r="Y25" s="619">
        <v>0</v>
      </c>
      <c r="Z25" s="619">
        <v>0</v>
      </c>
      <c r="AA25" s="619">
        <v>0</v>
      </c>
      <c r="AB25" s="619">
        <v>0</v>
      </c>
      <c r="AC25" s="619">
        <v>0</v>
      </c>
      <c r="AD25" s="619">
        <v>0</v>
      </c>
      <c r="AE25" s="619">
        <v>0</v>
      </c>
      <c r="AF25" s="619">
        <v>0</v>
      </c>
      <c r="AG25" s="618">
        <f t="shared" si="4"/>
        <v>0</v>
      </c>
      <c r="AH25" s="651"/>
      <c r="AI25" s="631"/>
      <c r="AJ25" s="649"/>
      <c r="AK25" s="649"/>
    </row>
    <row r="26" spans="1:37" x14ac:dyDescent="0.2">
      <c r="A26" s="631"/>
      <c r="B26" s="631"/>
      <c r="C26" s="647"/>
      <c r="D26" s="652" t="s">
        <v>610</v>
      </c>
      <c r="E26" s="650"/>
      <c r="F26" s="619">
        <v>14167000</v>
      </c>
      <c r="G26" s="619">
        <v>859912</v>
      </c>
      <c r="H26" s="619">
        <v>1339982</v>
      </c>
      <c r="I26" s="619">
        <v>2555446</v>
      </c>
      <c r="J26" s="619">
        <v>769465</v>
      </c>
      <c r="K26" s="619">
        <v>1947836</v>
      </c>
      <c r="L26" s="619">
        <v>1224536</v>
      </c>
      <c r="M26" s="619">
        <v>0</v>
      </c>
      <c r="N26" s="619">
        <v>0</v>
      </c>
      <c r="O26" s="619">
        <v>0</v>
      </c>
      <c r="P26" s="619">
        <v>0</v>
      </c>
      <c r="Q26" s="619">
        <v>0</v>
      </c>
      <c r="R26" s="619">
        <v>0</v>
      </c>
      <c r="S26" s="618">
        <f>SUM(G26:R26)</f>
        <v>8697177</v>
      </c>
      <c r="T26" s="619">
        <v>8958256</v>
      </c>
      <c r="U26" s="619">
        <v>955276</v>
      </c>
      <c r="V26" s="619">
        <v>4819534</v>
      </c>
      <c r="W26" s="619">
        <v>9233</v>
      </c>
      <c r="X26" s="619">
        <v>0</v>
      </c>
      <c r="Y26" s="619">
        <v>23388</v>
      </c>
      <c r="Z26" s="619">
        <v>67995</v>
      </c>
      <c r="AA26" s="619">
        <v>94893</v>
      </c>
      <c r="AB26" s="619">
        <v>20762</v>
      </c>
      <c r="AC26" s="619">
        <v>9886</v>
      </c>
      <c r="AD26" s="619">
        <v>28056</v>
      </c>
      <c r="AE26" s="619">
        <v>49385</v>
      </c>
      <c r="AF26" s="619">
        <v>2879848</v>
      </c>
      <c r="AG26" s="618">
        <f t="shared" si="4"/>
        <v>5875426</v>
      </c>
      <c r="AH26" s="651"/>
      <c r="AI26" s="631"/>
      <c r="AJ26" s="654"/>
      <c r="AK26" s="649"/>
    </row>
    <row r="27" spans="1:37" ht="12.75" hidden="1" customHeight="1" x14ac:dyDescent="0.2">
      <c r="A27" s="631"/>
      <c r="B27" s="631"/>
      <c r="C27" s="647"/>
      <c r="D27" s="652" t="s">
        <v>611</v>
      </c>
      <c r="E27" s="650"/>
      <c r="F27" s="619">
        <v>0</v>
      </c>
      <c r="G27" s="157">
        <v>0</v>
      </c>
      <c r="H27" s="157">
        <v>0</v>
      </c>
      <c r="I27" s="157">
        <v>0</v>
      </c>
      <c r="J27" s="157">
        <v>0</v>
      </c>
      <c r="K27" s="157">
        <v>0</v>
      </c>
      <c r="L27" s="157">
        <v>0</v>
      </c>
      <c r="M27" s="157">
        <v>0</v>
      </c>
      <c r="N27" s="157">
        <v>0</v>
      </c>
      <c r="O27" s="157">
        <v>0</v>
      </c>
      <c r="P27" s="157">
        <v>0</v>
      </c>
      <c r="Q27" s="157">
        <v>0</v>
      </c>
      <c r="R27" s="157">
        <v>0</v>
      </c>
      <c r="S27" s="618">
        <f t="shared" si="3"/>
        <v>0</v>
      </c>
      <c r="T27" s="619">
        <v>0</v>
      </c>
      <c r="U27" s="157">
        <v>0</v>
      </c>
      <c r="V27" s="157">
        <v>0</v>
      </c>
      <c r="W27" s="157">
        <v>0</v>
      </c>
      <c r="X27" s="157">
        <v>0</v>
      </c>
      <c r="Y27" s="157">
        <v>0</v>
      </c>
      <c r="Z27" s="157">
        <v>0</v>
      </c>
      <c r="AA27" s="157">
        <v>0</v>
      </c>
      <c r="AB27" s="157">
        <v>0</v>
      </c>
      <c r="AC27" s="157">
        <v>0</v>
      </c>
      <c r="AD27" s="157">
        <v>0</v>
      </c>
      <c r="AE27" s="157">
        <v>0</v>
      </c>
      <c r="AF27" s="157">
        <v>0</v>
      </c>
      <c r="AG27" s="618">
        <f t="shared" si="4"/>
        <v>0</v>
      </c>
      <c r="AH27" s="651"/>
      <c r="AI27" s="631"/>
      <c r="AJ27" s="649"/>
      <c r="AK27" s="649"/>
    </row>
    <row r="28" spans="1:37" ht="12.75" hidden="1" customHeight="1" x14ac:dyDescent="0.2">
      <c r="A28" s="631"/>
      <c r="B28" s="631"/>
      <c r="C28" s="647"/>
      <c r="D28" s="39" t="s">
        <v>612</v>
      </c>
      <c r="E28" s="653" t="s">
        <v>86</v>
      </c>
      <c r="F28" s="619">
        <v>0</v>
      </c>
      <c r="G28" s="157">
        <v>0</v>
      </c>
      <c r="H28" s="157">
        <v>0</v>
      </c>
      <c r="I28" s="157">
        <v>0</v>
      </c>
      <c r="J28" s="157">
        <v>0</v>
      </c>
      <c r="K28" s="157">
        <v>0</v>
      </c>
      <c r="L28" s="157">
        <v>0</v>
      </c>
      <c r="M28" s="157">
        <v>0</v>
      </c>
      <c r="N28" s="157">
        <v>0</v>
      </c>
      <c r="O28" s="157">
        <v>0</v>
      </c>
      <c r="P28" s="157">
        <v>0</v>
      </c>
      <c r="Q28" s="157">
        <v>0</v>
      </c>
      <c r="R28" s="157">
        <v>0</v>
      </c>
      <c r="S28" s="618">
        <f t="shared" si="3"/>
        <v>0</v>
      </c>
      <c r="T28" s="619">
        <v>0</v>
      </c>
      <c r="U28" s="157">
        <v>0</v>
      </c>
      <c r="V28" s="157">
        <v>0</v>
      </c>
      <c r="W28" s="157">
        <v>0</v>
      </c>
      <c r="X28" s="157">
        <v>0</v>
      </c>
      <c r="Y28" s="157">
        <v>0</v>
      </c>
      <c r="Z28" s="157">
        <v>0</v>
      </c>
      <c r="AA28" s="157">
        <v>0</v>
      </c>
      <c r="AB28" s="157">
        <v>0</v>
      </c>
      <c r="AC28" s="157">
        <v>0</v>
      </c>
      <c r="AD28" s="157">
        <v>0</v>
      </c>
      <c r="AE28" s="157">
        <v>0</v>
      </c>
      <c r="AF28" s="157">
        <v>0</v>
      </c>
      <c r="AG28" s="618">
        <f t="shared" si="4"/>
        <v>0</v>
      </c>
      <c r="AH28" s="651"/>
      <c r="AI28" s="631"/>
      <c r="AJ28" s="649"/>
      <c r="AK28" s="649"/>
    </row>
    <row r="29" spans="1:37" s="656" customFormat="1" ht="12.75" hidden="1" customHeight="1" x14ac:dyDescent="0.2">
      <c r="A29" s="634"/>
      <c r="B29" s="634"/>
      <c r="C29" s="431"/>
      <c r="D29" s="652" t="s">
        <v>613</v>
      </c>
      <c r="E29" s="650"/>
      <c r="F29" s="619">
        <v>0</v>
      </c>
      <c r="G29" s="157">
        <v>0</v>
      </c>
      <c r="H29" s="157">
        <v>0</v>
      </c>
      <c r="I29" s="157">
        <v>0</v>
      </c>
      <c r="J29" s="157">
        <v>0</v>
      </c>
      <c r="K29" s="157">
        <v>0</v>
      </c>
      <c r="L29" s="157">
        <v>0</v>
      </c>
      <c r="M29" s="157">
        <v>0</v>
      </c>
      <c r="N29" s="157">
        <v>0</v>
      </c>
      <c r="O29" s="157">
        <v>0</v>
      </c>
      <c r="P29" s="157">
        <v>0</v>
      </c>
      <c r="Q29" s="157">
        <v>0</v>
      </c>
      <c r="R29" s="157">
        <v>0</v>
      </c>
      <c r="S29" s="618">
        <f>SUM(G29:R29)</f>
        <v>0</v>
      </c>
      <c r="T29" s="619">
        <v>0</v>
      </c>
      <c r="U29" s="157">
        <v>0</v>
      </c>
      <c r="V29" s="157">
        <v>0</v>
      </c>
      <c r="W29" s="157">
        <v>0</v>
      </c>
      <c r="X29" s="157">
        <v>0</v>
      </c>
      <c r="Y29" s="157">
        <v>0</v>
      </c>
      <c r="Z29" s="157">
        <v>0</v>
      </c>
      <c r="AA29" s="157">
        <v>0</v>
      </c>
      <c r="AB29" s="157">
        <v>0</v>
      </c>
      <c r="AC29" s="157">
        <v>0</v>
      </c>
      <c r="AD29" s="157">
        <v>0</v>
      </c>
      <c r="AE29" s="157">
        <v>0</v>
      </c>
      <c r="AF29" s="157">
        <v>0</v>
      </c>
      <c r="AG29" s="618">
        <f t="shared" si="4"/>
        <v>0</v>
      </c>
      <c r="AH29" s="655"/>
      <c r="AI29" s="634"/>
      <c r="AJ29" s="649"/>
      <c r="AK29" s="649"/>
    </row>
    <row r="30" spans="1:37" s="656" customFormat="1" ht="12.75" hidden="1" customHeight="1" x14ac:dyDescent="0.2">
      <c r="A30" s="634"/>
      <c r="B30" s="634"/>
      <c r="C30" s="431"/>
      <c r="D30" s="39" t="s">
        <v>614</v>
      </c>
      <c r="E30" s="650"/>
      <c r="F30" s="619">
        <v>0</v>
      </c>
      <c r="G30" s="157">
        <v>0</v>
      </c>
      <c r="H30" s="157">
        <v>0</v>
      </c>
      <c r="I30" s="157">
        <v>0</v>
      </c>
      <c r="J30" s="157">
        <v>0</v>
      </c>
      <c r="K30" s="157">
        <v>0</v>
      </c>
      <c r="L30" s="157">
        <v>0</v>
      </c>
      <c r="M30" s="157">
        <v>0</v>
      </c>
      <c r="N30" s="157">
        <v>0</v>
      </c>
      <c r="O30" s="157">
        <v>0</v>
      </c>
      <c r="P30" s="157">
        <v>0</v>
      </c>
      <c r="Q30" s="157">
        <v>0</v>
      </c>
      <c r="R30" s="157">
        <v>0</v>
      </c>
      <c r="S30" s="618">
        <f t="shared" si="3"/>
        <v>0</v>
      </c>
      <c r="T30" s="619">
        <v>0</v>
      </c>
      <c r="U30" s="157">
        <v>0</v>
      </c>
      <c r="V30" s="157">
        <v>0</v>
      </c>
      <c r="W30" s="157">
        <v>0</v>
      </c>
      <c r="X30" s="157">
        <v>0</v>
      </c>
      <c r="Y30" s="157">
        <v>0</v>
      </c>
      <c r="Z30" s="157">
        <v>0</v>
      </c>
      <c r="AA30" s="157">
        <v>0</v>
      </c>
      <c r="AB30" s="157">
        <v>0</v>
      </c>
      <c r="AC30" s="157">
        <v>0</v>
      </c>
      <c r="AD30" s="157">
        <v>0</v>
      </c>
      <c r="AE30" s="157">
        <v>0</v>
      </c>
      <c r="AF30" s="157">
        <v>0</v>
      </c>
      <c r="AG30" s="618">
        <f t="shared" si="4"/>
        <v>0</v>
      </c>
      <c r="AH30" s="655"/>
      <c r="AI30" s="634"/>
      <c r="AJ30" s="649"/>
      <c r="AK30" s="649"/>
    </row>
    <row r="31" spans="1:37" s="656" customFormat="1" ht="12.75" hidden="1" customHeight="1" x14ac:dyDescent="0.2">
      <c r="A31" s="634"/>
      <c r="B31" s="634"/>
      <c r="C31" s="431"/>
      <c r="D31" s="39" t="s">
        <v>615</v>
      </c>
      <c r="E31" s="650"/>
      <c r="F31" s="619">
        <v>0</v>
      </c>
      <c r="G31" s="157">
        <v>0</v>
      </c>
      <c r="H31" s="157">
        <v>0</v>
      </c>
      <c r="I31" s="157">
        <v>0</v>
      </c>
      <c r="J31" s="157">
        <v>0</v>
      </c>
      <c r="K31" s="157">
        <v>0</v>
      </c>
      <c r="L31" s="157">
        <v>0</v>
      </c>
      <c r="M31" s="157">
        <v>0</v>
      </c>
      <c r="N31" s="157">
        <v>0</v>
      </c>
      <c r="O31" s="157">
        <v>0</v>
      </c>
      <c r="P31" s="157">
        <v>0</v>
      </c>
      <c r="Q31" s="157">
        <v>0</v>
      </c>
      <c r="R31" s="157">
        <v>0</v>
      </c>
      <c r="S31" s="618">
        <f t="shared" si="3"/>
        <v>0</v>
      </c>
      <c r="T31" s="619">
        <v>0</v>
      </c>
      <c r="U31" s="157">
        <v>0</v>
      </c>
      <c r="V31" s="157">
        <v>0</v>
      </c>
      <c r="W31" s="157">
        <v>0</v>
      </c>
      <c r="X31" s="157">
        <v>0</v>
      </c>
      <c r="Y31" s="157">
        <v>0</v>
      </c>
      <c r="Z31" s="157">
        <v>0</v>
      </c>
      <c r="AA31" s="157">
        <v>0</v>
      </c>
      <c r="AB31" s="157">
        <v>0</v>
      </c>
      <c r="AC31" s="157">
        <v>0</v>
      </c>
      <c r="AD31" s="157">
        <v>0</v>
      </c>
      <c r="AE31" s="157">
        <v>0</v>
      </c>
      <c r="AF31" s="157">
        <v>0</v>
      </c>
      <c r="AG31" s="618">
        <f t="shared" si="4"/>
        <v>0</v>
      </c>
      <c r="AH31" s="655"/>
      <c r="AI31" s="634"/>
      <c r="AJ31" s="649"/>
      <c r="AK31" s="649"/>
    </row>
    <row r="32" spans="1:37" ht="12.75" hidden="1" customHeight="1" x14ac:dyDescent="0.2">
      <c r="A32" s="631"/>
      <c r="B32" s="631"/>
      <c r="C32" s="647"/>
      <c r="D32" s="39" t="s">
        <v>616</v>
      </c>
      <c r="E32" s="650"/>
      <c r="F32" s="619">
        <v>0</v>
      </c>
      <c r="G32" s="157">
        <v>0</v>
      </c>
      <c r="H32" s="157">
        <v>0</v>
      </c>
      <c r="I32" s="157">
        <v>0</v>
      </c>
      <c r="J32" s="157">
        <v>0</v>
      </c>
      <c r="K32" s="157">
        <v>0</v>
      </c>
      <c r="L32" s="157">
        <v>0</v>
      </c>
      <c r="M32" s="157">
        <v>0</v>
      </c>
      <c r="N32" s="157">
        <v>0</v>
      </c>
      <c r="O32" s="157">
        <v>0</v>
      </c>
      <c r="P32" s="157">
        <v>0</v>
      </c>
      <c r="Q32" s="157">
        <v>0</v>
      </c>
      <c r="R32" s="157">
        <v>0</v>
      </c>
      <c r="S32" s="618">
        <f t="shared" si="3"/>
        <v>0</v>
      </c>
      <c r="T32" s="619">
        <v>0</v>
      </c>
      <c r="U32" s="157">
        <v>0</v>
      </c>
      <c r="V32" s="157">
        <v>0</v>
      </c>
      <c r="W32" s="157">
        <v>0</v>
      </c>
      <c r="X32" s="157">
        <v>0</v>
      </c>
      <c r="Y32" s="157">
        <v>0</v>
      </c>
      <c r="Z32" s="157">
        <v>0</v>
      </c>
      <c r="AA32" s="157">
        <v>0</v>
      </c>
      <c r="AB32" s="157">
        <v>0</v>
      </c>
      <c r="AC32" s="157">
        <v>0</v>
      </c>
      <c r="AD32" s="157">
        <v>0</v>
      </c>
      <c r="AE32" s="157">
        <v>0</v>
      </c>
      <c r="AF32" s="157">
        <v>0</v>
      </c>
      <c r="AG32" s="618">
        <f t="shared" si="4"/>
        <v>0</v>
      </c>
      <c r="AH32" s="651"/>
      <c r="AI32" s="631"/>
      <c r="AJ32" s="649"/>
      <c r="AK32" s="649"/>
    </row>
    <row r="33" spans="1:37" ht="12.75" hidden="1" customHeight="1" x14ac:dyDescent="0.2">
      <c r="A33" s="631"/>
      <c r="B33" s="631"/>
      <c r="C33" s="647"/>
      <c r="D33" s="39" t="s">
        <v>616</v>
      </c>
      <c r="E33" s="650"/>
      <c r="F33" s="619">
        <v>0</v>
      </c>
      <c r="G33" s="157">
        <v>0</v>
      </c>
      <c r="H33" s="157">
        <v>0</v>
      </c>
      <c r="I33" s="157">
        <v>0</v>
      </c>
      <c r="J33" s="157">
        <v>0</v>
      </c>
      <c r="K33" s="157">
        <v>0</v>
      </c>
      <c r="L33" s="157">
        <v>0</v>
      </c>
      <c r="M33" s="157">
        <v>0</v>
      </c>
      <c r="N33" s="157">
        <v>0</v>
      </c>
      <c r="O33" s="157">
        <v>0</v>
      </c>
      <c r="P33" s="157">
        <v>0</v>
      </c>
      <c r="Q33" s="157">
        <v>0</v>
      </c>
      <c r="R33" s="157">
        <v>0</v>
      </c>
      <c r="S33" s="618">
        <f t="shared" si="3"/>
        <v>0</v>
      </c>
      <c r="T33" s="619">
        <v>0</v>
      </c>
      <c r="U33" s="157">
        <v>0</v>
      </c>
      <c r="V33" s="157">
        <v>0</v>
      </c>
      <c r="W33" s="157">
        <v>0</v>
      </c>
      <c r="X33" s="157">
        <v>0</v>
      </c>
      <c r="Y33" s="157">
        <v>0</v>
      </c>
      <c r="Z33" s="157">
        <v>0</v>
      </c>
      <c r="AA33" s="157">
        <v>0</v>
      </c>
      <c r="AB33" s="157">
        <v>0</v>
      </c>
      <c r="AC33" s="157">
        <v>0</v>
      </c>
      <c r="AD33" s="157">
        <v>0</v>
      </c>
      <c r="AE33" s="157">
        <v>0</v>
      </c>
      <c r="AF33" s="157">
        <v>0</v>
      </c>
      <c r="AG33" s="618">
        <f t="shared" si="4"/>
        <v>0</v>
      </c>
      <c r="AH33" s="651"/>
      <c r="AI33" s="631"/>
      <c r="AJ33" s="649"/>
      <c r="AK33" s="649"/>
    </row>
    <row r="34" spans="1:37" ht="15" hidden="1" customHeight="1" x14ac:dyDescent="0.2">
      <c r="A34" s="631"/>
      <c r="B34" s="631"/>
      <c r="C34" s="647"/>
      <c r="D34" s="652" t="s">
        <v>617</v>
      </c>
      <c r="E34" s="650"/>
      <c r="F34" s="619">
        <v>0</v>
      </c>
      <c r="G34" s="157">
        <v>0</v>
      </c>
      <c r="H34" s="157">
        <v>0</v>
      </c>
      <c r="I34" s="157">
        <v>0</v>
      </c>
      <c r="J34" s="157">
        <v>0</v>
      </c>
      <c r="K34" s="157">
        <v>0</v>
      </c>
      <c r="L34" s="157">
        <v>0</v>
      </c>
      <c r="M34" s="157">
        <v>0</v>
      </c>
      <c r="N34" s="157">
        <v>0</v>
      </c>
      <c r="O34" s="157">
        <v>0</v>
      </c>
      <c r="P34" s="157">
        <v>0</v>
      </c>
      <c r="Q34" s="157">
        <v>0</v>
      </c>
      <c r="R34" s="157">
        <v>0</v>
      </c>
      <c r="S34" s="618">
        <f t="shared" si="3"/>
        <v>0</v>
      </c>
      <c r="T34" s="619">
        <v>0</v>
      </c>
      <c r="U34" s="157">
        <v>0</v>
      </c>
      <c r="V34" s="157">
        <v>0</v>
      </c>
      <c r="W34" s="157">
        <v>0</v>
      </c>
      <c r="X34" s="157">
        <v>0</v>
      </c>
      <c r="Y34" s="157">
        <v>0</v>
      </c>
      <c r="Z34" s="157">
        <v>0</v>
      </c>
      <c r="AA34" s="157">
        <v>0</v>
      </c>
      <c r="AB34" s="157">
        <v>0</v>
      </c>
      <c r="AC34" s="157">
        <v>0</v>
      </c>
      <c r="AD34" s="157">
        <v>0</v>
      </c>
      <c r="AE34" s="157">
        <v>0</v>
      </c>
      <c r="AF34" s="157">
        <v>0</v>
      </c>
      <c r="AG34" s="618">
        <f t="shared" si="4"/>
        <v>0</v>
      </c>
      <c r="AH34" s="651"/>
      <c r="AI34" s="631"/>
      <c r="AJ34" s="649"/>
      <c r="AK34" s="649"/>
    </row>
    <row r="35" spans="1:37" ht="12.75" hidden="1" customHeight="1" x14ac:dyDescent="0.2">
      <c r="A35" s="631"/>
      <c r="B35" s="631"/>
      <c r="C35" s="647"/>
      <c r="D35" s="39" t="s">
        <v>618</v>
      </c>
      <c r="E35" s="650"/>
      <c r="F35" s="619">
        <v>0</v>
      </c>
      <c r="G35" s="157">
        <v>0</v>
      </c>
      <c r="H35" s="157">
        <v>0</v>
      </c>
      <c r="I35" s="157">
        <v>0</v>
      </c>
      <c r="J35" s="157">
        <v>0</v>
      </c>
      <c r="K35" s="157">
        <v>0</v>
      </c>
      <c r="L35" s="157">
        <v>0</v>
      </c>
      <c r="M35" s="157">
        <v>0</v>
      </c>
      <c r="N35" s="157">
        <v>0</v>
      </c>
      <c r="O35" s="157">
        <v>0</v>
      </c>
      <c r="P35" s="157">
        <v>0</v>
      </c>
      <c r="Q35" s="157">
        <v>0</v>
      </c>
      <c r="R35" s="157">
        <v>0</v>
      </c>
      <c r="S35" s="618">
        <f>SUM(G35:R35)</f>
        <v>0</v>
      </c>
      <c r="T35" s="619">
        <v>0</v>
      </c>
      <c r="U35" s="157">
        <v>0</v>
      </c>
      <c r="V35" s="157">
        <v>0</v>
      </c>
      <c r="W35" s="157">
        <v>0</v>
      </c>
      <c r="X35" s="157">
        <v>0</v>
      </c>
      <c r="Y35" s="157">
        <v>0</v>
      </c>
      <c r="Z35" s="157">
        <v>0</v>
      </c>
      <c r="AA35" s="157">
        <v>0</v>
      </c>
      <c r="AB35" s="157">
        <v>0</v>
      </c>
      <c r="AC35" s="157">
        <v>0</v>
      </c>
      <c r="AD35" s="157">
        <v>0</v>
      </c>
      <c r="AE35" s="157">
        <v>0</v>
      </c>
      <c r="AF35" s="157">
        <v>0</v>
      </c>
      <c r="AG35" s="618">
        <f t="shared" si="4"/>
        <v>0</v>
      </c>
      <c r="AH35" s="651"/>
      <c r="AI35" s="631"/>
      <c r="AJ35" s="649"/>
      <c r="AK35" s="649"/>
    </row>
    <row r="36" spans="1:37" hidden="1" x14ac:dyDescent="0.2">
      <c r="A36" s="631"/>
      <c r="B36" s="631"/>
      <c r="C36" s="647"/>
      <c r="D36" s="39" t="s">
        <v>619</v>
      </c>
      <c r="E36" s="650"/>
      <c r="F36" s="619">
        <v>0</v>
      </c>
      <c r="G36" s="157">
        <v>0</v>
      </c>
      <c r="H36" s="157">
        <v>0</v>
      </c>
      <c r="I36" s="157">
        <v>0</v>
      </c>
      <c r="J36" s="157">
        <v>0</v>
      </c>
      <c r="K36" s="157">
        <v>0</v>
      </c>
      <c r="L36" s="157">
        <v>0</v>
      </c>
      <c r="M36" s="157">
        <v>0</v>
      </c>
      <c r="N36" s="157">
        <v>0</v>
      </c>
      <c r="O36" s="157">
        <v>0</v>
      </c>
      <c r="P36" s="157">
        <v>0</v>
      </c>
      <c r="Q36" s="157">
        <v>0</v>
      </c>
      <c r="R36" s="157">
        <v>0</v>
      </c>
      <c r="S36" s="618">
        <f>SUM(G36:R36)</f>
        <v>0</v>
      </c>
      <c r="T36" s="619">
        <v>0</v>
      </c>
      <c r="U36" s="157">
        <v>0</v>
      </c>
      <c r="V36" s="157">
        <v>0</v>
      </c>
      <c r="W36" s="157">
        <v>0</v>
      </c>
      <c r="X36" s="157">
        <v>0</v>
      </c>
      <c r="Y36" s="157">
        <v>0</v>
      </c>
      <c r="Z36" s="157">
        <v>0</v>
      </c>
      <c r="AA36" s="157">
        <v>0</v>
      </c>
      <c r="AB36" s="157">
        <v>0</v>
      </c>
      <c r="AC36" s="157">
        <v>0</v>
      </c>
      <c r="AD36" s="157">
        <v>0</v>
      </c>
      <c r="AE36" s="157">
        <v>0</v>
      </c>
      <c r="AF36" s="157">
        <v>0</v>
      </c>
      <c r="AG36" s="618">
        <f t="shared" si="4"/>
        <v>0</v>
      </c>
      <c r="AH36" s="651"/>
      <c r="AI36" s="631"/>
      <c r="AJ36" s="649"/>
      <c r="AK36" s="649">
        <v>1316271</v>
      </c>
    </row>
    <row r="37" spans="1:37" hidden="1" x14ac:dyDescent="0.2">
      <c r="A37" s="631"/>
      <c r="B37" s="631"/>
      <c r="C37" s="647"/>
      <c r="D37" s="39" t="s">
        <v>620</v>
      </c>
      <c r="E37" s="650"/>
      <c r="F37" s="619">
        <v>0</v>
      </c>
      <c r="G37" s="157">
        <v>0</v>
      </c>
      <c r="H37" s="157">
        <v>0</v>
      </c>
      <c r="I37" s="157">
        <v>0</v>
      </c>
      <c r="J37" s="157">
        <v>0</v>
      </c>
      <c r="K37" s="157">
        <v>0</v>
      </c>
      <c r="L37" s="157">
        <v>0</v>
      </c>
      <c r="M37" s="157">
        <v>0</v>
      </c>
      <c r="N37" s="157">
        <v>0</v>
      </c>
      <c r="O37" s="157">
        <v>0</v>
      </c>
      <c r="P37" s="157">
        <v>0</v>
      </c>
      <c r="Q37" s="157">
        <v>0</v>
      </c>
      <c r="R37" s="157">
        <v>0</v>
      </c>
      <c r="S37" s="618">
        <f>SUM(G37:R37)</f>
        <v>0</v>
      </c>
      <c r="T37" s="619">
        <v>0</v>
      </c>
      <c r="U37" s="157">
        <v>0</v>
      </c>
      <c r="V37" s="157">
        <v>0</v>
      </c>
      <c r="W37" s="157">
        <v>0</v>
      </c>
      <c r="X37" s="157">
        <v>0</v>
      </c>
      <c r="Y37" s="157">
        <v>0</v>
      </c>
      <c r="Z37" s="157">
        <v>0</v>
      </c>
      <c r="AA37" s="157">
        <v>0</v>
      </c>
      <c r="AB37" s="157">
        <v>0</v>
      </c>
      <c r="AC37" s="157">
        <v>0</v>
      </c>
      <c r="AD37" s="157">
        <v>0</v>
      </c>
      <c r="AE37" s="157">
        <v>0</v>
      </c>
      <c r="AF37" s="157">
        <v>0</v>
      </c>
      <c r="AG37" s="618">
        <f t="shared" si="4"/>
        <v>0</v>
      </c>
      <c r="AH37" s="651"/>
      <c r="AI37" s="631"/>
      <c r="AJ37" s="649"/>
      <c r="AK37" s="649"/>
    </row>
    <row r="38" spans="1:37" x14ac:dyDescent="0.2">
      <c r="A38" s="631"/>
      <c r="B38" s="631"/>
      <c r="C38" s="647"/>
      <c r="D38" s="652" t="s">
        <v>621</v>
      </c>
      <c r="E38" s="650"/>
      <c r="F38" s="157">
        <v>0</v>
      </c>
      <c r="G38" s="157">
        <v>0</v>
      </c>
      <c r="H38" s="157">
        <v>0</v>
      </c>
      <c r="I38" s="157">
        <v>0</v>
      </c>
      <c r="J38" s="157">
        <v>0</v>
      </c>
      <c r="K38" s="157">
        <v>0</v>
      </c>
      <c r="L38" s="157">
        <v>0</v>
      </c>
      <c r="M38" s="157">
        <v>0</v>
      </c>
      <c r="N38" s="157">
        <v>0</v>
      </c>
      <c r="O38" s="157">
        <v>0</v>
      </c>
      <c r="P38" s="157">
        <v>0</v>
      </c>
      <c r="Q38" s="157">
        <v>0</v>
      </c>
      <c r="R38" s="157">
        <v>0</v>
      </c>
      <c r="S38" s="618">
        <f>SUM(G38:R38)</f>
        <v>0</v>
      </c>
      <c r="T38" s="157">
        <v>0</v>
      </c>
      <c r="U38" s="157">
        <v>0</v>
      </c>
      <c r="V38" s="157">
        <v>0</v>
      </c>
      <c r="W38" s="157">
        <v>0</v>
      </c>
      <c r="X38" s="157">
        <v>0</v>
      </c>
      <c r="Y38" s="157">
        <v>0</v>
      </c>
      <c r="Z38" s="157">
        <v>0</v>
      </c>
      <c r="AA38" s="157">
        <v>0</v>
      </c>
      <c r="AB38" s="157">
        <v>0</v>
      </c>
      <c r="AC38" s="157">
        <v>0</v>
      </c>
      <c r="AD38" s="157">
        <v>0</v>
      </c>
      <c r="AE38" s="157">
        <v>0</v>
      </c>
      <c r="AF38" s="157">
        <v>0</v>
      </c>
      <c r="AG38" s="618">
        <f t="shared" si="4"/>
        <v>0</v>
      </c>
      <c r="AH38" s="651"/>
      <c r="AI38" s="631"/>
      <c r="AJ38" s="649"/>
      <c r="AK38" s="649"/>
    </row>
    <row r="39" spans="1:37" ht="12.75" customHeight="1" x14ac:dyDescent="0.2">
      <c r="A39" s="631"/>
      <c r="B39" s="631"/>
      <c r="C39" s="647"/>
      <c r="D39" s="652"/>
      <c r="E39" s="115"/>
      <c r="F39" s="157"/>
      <c r="G39" s="157"/>
      <c r="H39" s="157"/>
      <c r="I39" s="157"/>
      <c r="J39" s="157"/>
      <c r="K39" s="157"/>
      <c r="L39" s="157"/>
      <c r="M39" s="157"/>
      <c r="N39" s="157"/>
      <c r="O39" s="157"/>
      <c r="P39" s="157"/>
      <c r="Q39" s="157"/>
      <c r="R39" s="157"/>
      <c r="S39" s="618"/>
      <c r="T39" s="157"/>
      <c r="U39" s="157"/>
      <c r="V39" s="157"/>
      <c r="W39" s="157"/>
      <c r="X39" s="157"/>
      <c r="Y39" s="157"/>
      <c r="Z39" s="157"/>
      <c r="AA39" s="157"/>
      <c r="AB39" s="157"/>
      <c r="AC39" s="157"/>
      <c r="AD39" s="157"/>
      <c r="AE39" s="157"/>
      <c r="AF39" s="157"/>
      <c r="AG39" s="618"/>
      <c r="AH39" s="651"/>
      <c r="AI39" s="631"/>
      <c r="AJ39" s="649"/>
      <c r="AK39" s="649"/>
    </row>
    <row r="40" spans="1:37" x14ac:dyDescent="0.2">
      <c r="A40" s="631"/>
      <c r="B40" s="631"/>
      <c r="C40" s="647" t="s">
        <v>622</v>
      </c>
      <c r="D40" s="642"/>
      <c r="E40" s="657"/>
      <c r="F40" s="171">
        <f t="shared" ref="F40:R40" si="5">SUM(F41:F49)</f>
        <v>-111331</v>
      </c>
      <c r="G40" s="171">
        <f>SUM(G41:G49)</f>
        <v>-18</v>
      </c>
      <c r="H40" s="171">
        <f t="shared" si="5"/>
        <v>-111334</v>
      </c>
      <c r="I40" s="171">
        <f t="shared" si="5"/>
        <v>-2</v>
      </c>
      <c r="J40" s="171">
        <f t="shared" si="5"/>
        <v>0</v>
      </c>
      <c r="K40" s="171">
        <f t="shared" si="5"/>
        <v>-1</v>
      </c>
      <c r="L40" s="171">
        <f t="shared" si="5"/>
        <v>-66260</v>
      </c>
      <c r="M40" s="171">
        <f t="shared" si="5"/>
        <v>0</v>
      </c>
      <c r="N40" s="171">
        <f t="shared" si="5"/>
        <v>0</v>
      </c>
      <c r="O40" s="171">
        <f t="shared" si="5"/>
        <v>0</v>
      </c>
      <c r="P40" s="171">
        <f>SUM(P41:P49)</f>
        <v>0</v>
      </c>
      <c r="Q40" s="171">
        <f t="shared" si="5"/>
        <v>0</v>
      </c>
      <c r="R40" s="171">
        <f t="shared" si="5"/>
        <v>0</v>
      </c>
      <c r="S40" s="171">
        <f>SUM(S41:S49)</f>
        <v>-177615</v>
      </c>
      <c r="T40" s="171">
        <f>SUM(T41:T49)</f>
        <v>-468468</v>
      </c>
      <c r="U40" s="171">
        <f>SUM(U41:U49)</f>
        <v>-131872</v>
      </c>
      <c r="V40" s="171">
        <f t="shared" ref="V40:AC40" si="6">SUM(V41:V49)</f>
        <v>-83878</v>
      </c>
      <c r="W40" s="171">
        <f t="shared" si="6"/>
        <v>-23306</v>
      </c>
      <c r="X40" s="171">
        <f t="shared" si="6"/>
        <v>-119906</v>
      </c>
      <c r="Y40" s="171">
        <f t="shared" si="6"/>
        <v>-230</v>
      </c>
      <c r="Z40" s="171">
        <f t="shared" si="6"/>
        <v>-21</v>
      </c>
      <c r="AA40" s="171">
        <f t="shared" si="6"/>
        <v>-30</v>
      </c>
      <c r="AB40" s="171">
        <f t="shared" si="6"/>
        <v>-1363</v>
      </c>
      <c r="AC40" s="171">
        <f t="shared" si="6"/>
        <v>-107525</v>
      </c>
      <c r="AD40" s="171">
        <f>SUM(AD41:AD49)</f>
        <v>-298</v>
      </c>
      <c r="AE40" s="171">
        <f>SUM(AE41:AE49)</f>
        <v>0</v>
      </c>
      <c r="AF40" s="171">
        <f>SUM(AF41:AF49)</f>
        <v>-39</v>
      </c>
      <c r="AG40" s="171">
        <f>SUM(AG41:AG49)</f>
        <v>-359213</v>
      </c>
      <c r="AH40" s="651"/>
      <c r="AI40" s="631"/>
      <c r="AJ40" s="649"/>
      <c r="AK40" s="649"/>
    </row>
    <row r="41" spans="1:37" hidden="1" x14ac:dyDescent="0.2">
      <c r="A41" s="631"/>
      <c r="B41" s="631"/>
      <c r="C41" s="658"/>
      <c r="D41" s="652" t="s">
        <v>623</v>
      </c>
      <c r="E41" s="650"/>
      <c r="F41" s="157">
        <v>0</v>
      </c>
      <c r="G41" s="618">
        <v>0</v>
      </c>
      <c r="H41" s="618">
        <v>0</v>
      </c>
      <c r="I41" s="618">
        <v>0</v>
      </c>
      <c r="J41" s="618">
        <v>0</v>
      </c>
      <c r="K41" s="618">
        <v>0</v>
      </c>
      <c r="L41" s="618">
        <v>0</v>
      </c>
      <c r="M41" s="618">
        <v>0</v>
      </c>
      <c r="N41" s="618">
        <v>0</v>
      </c>
      <c r="O41" s="618">
        <v>0</v>
      </c>
      <c r="P41" s="618">
        <v>0</v>
      </c>
      <c r="Q41" s="618">
        <v>0</v>
      </c>
      <c r="R41" s="618">
        <v>0</v>
      </c>
      <c r="S41" s="618">
        <f t="shared" ref="S41:S49" si="7">SUM(G41:R41)</f>
        <v>0</v>
      </c>
      <c r="T41" s="157">
        <v>0</v>
      </c>
      <c r="U41" s="618">
        <v>0</v>
      </c>
      <c r="V41" s="618">
        <v>0</v>
      </c>
      <c r="W41" s="618">
        <v>0</v>
      </c>
      <c r="X41" s="618">
        <v>0</v>
      </c>
      <c r="Y41" s="618">
        <v>0</v>
      </c>
      <c r="Z41" s="618">
        <v>0</v>
      </c>
      <c r="AA41" s="618">
        <v>0</v>
      </c>
      <c r="AB41" s="618">
        <v>0</v>
      </c>
      <c r="AC41" s="618">
        <v>0</v>
      </c>
      <c r="AD41" s="618">
        <v>0</v>
      </c>
      <c r="AE41" s="618">
        <v>0</v>
      </c>
      <c r="AF41" s="618">
        <v>0</v>
      </c>
      <c r="AG41" s="618">
        <f>SUM(U41:AF41)</f>
        <v>0</v>
      </c>
      <c r="AH41" s="648"/>
      <c r="AI41" s="631"/>
      <c r="AJ41" s="649"/>
      <c r="AK41" s="649"/>
    </row>
    <row r="42" spans="1:37" hidden="1" x14ac:dyDescent="0.2">
      <c r="A42" s="631"/>
      <c r="B42" s="631"/>
      <c r="C42" s="658"/>
      <c r="D42" s="652" t="s">
        <v>624</v>
      </c>
      <c r="E42" s="650"/>
      <c r="F42" s="619">
        <v>0</v>
      </c>
      <c r="G42" s="618">
        <v>0</v>
      </c>
      <c r="H42" s="618">
        <v>0</v>
      </c>
      <c r="I42" s="618">
        <v>0</v>
      </c>
      <c r="J42" s="618">
        <v>0</v>
      </c>
      <c r="K42" s="618">
        <v>0</v>
      </c>
      <c r="L42" s="618">
        <v>0</v>
      </c>
      <c r="M42" s="618">
        <v>0</v>
      </c>
      <c r="N42" s="618">
        <v>0</v>
      </c>
      <c r="O42" s="618">
        <v>0</v>
      </c>
      <c r="P42" s="618">
        <v>0</v>
      </c>
      <c r="Q42" s="618">
        <v>0</v>
      </c>
      <c r="R42" s="618">
        <v>0</v>
      </c>
      <c r="S42" s="618">
        <f t="shared" si="7"/>
        <v>0</v>
      </c>
      <c r="T42" s="619">
        <v>0</v>
      </c>
      <c r="U42" s="618">
        <v>0</v>
      </c>
      <c r="V42" s="618">
        <v>0</v>
      </c>
      <c r="W42" s="618">
        <v>0</v>
      </c>
      <c r="X42" s="618">
        <v>0</v>
      </c>
      <c r="Y42" s="618">
        <v>0</v>
      </c>
      <c r="Z42" s="618">
        <v>0</v>
      </c>
      <c r="AA42" s="618">
        <v>0</v>
      </c>
      <c r="AB42" s="618">
        <v>0</v>
      </c>
      <c r="AC42" s="618">
        <v>0</v>
      </c>
      <c r="AD42" s="618">
        <v>0</v>
      </c>
      <c r="AE42" s="618">
        <v>0</v>
      </c>
      <c r="AF42" s="618">
        <v>0</v>
      </c>
      <c r="AG42" s="618">
        <f>SUM(U42:AF42)</f>
        <v>0</v>
      </c>
      <c r="AH42" s="648"/>
      <c r="AI42" s="631"/>
      <c r="AJ42" s="649"/>
      <c r="AK42" s="649"/>
    </row>
    <row r="43" spans="1:37" x14ac:dyDescent="0.2">
      <c r="A43" s="631"/>
      <c r="B43" s="631"/>
      <c r="C43" s="658"/>
      <c r="D43" s="39" t="s">
        <v>625</v>
      </c>
      <c r="E43" s="657" t="s">
        <v>88</v>
      </c>
      <c r="F43" s="619">
        <v>-111331</v>
      </c>
      <c r="G43" s="618">
        <v>0</v>
      </c>
      <c r="H43" s="618">
        <v>-111331</v>
      </c>
      <c r="I43" s="618">
        <v>0</v>
      </c>
      <c r="J43" s="618">
        <v>0</v>
      </c>
      <c r="K43" s="618">
        <v>0</v>
      </c>
      <c r="L43" s="618">
        <v>0</v>
      </c>
      <c r="M43" s="618">
        <v>0</v>
      </c>
      <c r="N43" s="618">
        <v>0</v>
      </c>
      <c r="O43" s="618">
        <v>0</v>
      </c>
      <c r="P43" s="618">
        <v>0</v>
      </c>
      <c r="Q43" s="618">
        <v>0</v>
      </c>
      <c r="R43" s="618">
        <v>0</v>
      </c>
      <c r="S43" s="618">
        <f t="shared" si="7"/>
        <v>-111331</v>
      </c>
      <c r="T43" s="619">
        <v>-131729</v>
      </c>
      <c r="U43" s="618">
        <v>-131729</v>
      </c>
      <c r="V43" s="618">
        <v>0</v>
      </c>
      <c r="W43" s="618">
        <v>0</v>
      </c>
      <c r="X43" s="618">
        <v>0</v>
      </c>
      <c r="Y43" s="618">
        <v>0</v>
      </c>
      <c r="Z43" s="618">
        <v>0</v>
      </c>
      <c r="AA43" s="618">
        <v>0</v>
      </c>
      <c r="AB43" s="618">
        <v>0</v>
      </c>
      <c r="AC43" s="618">
        <v>0</v>
      </c>
      <c r="AD43" s="618">
        <v>0</v>
      </c>
      <c r="AE43" s="618">
        <v>0</v>
      </c>
      <c r="AF43" s="618">
        <v>0</v>
      </c>
      <c r="AG43" s="618">
        <f t="shared" ref="AG43:AG49" si="8">SUM(U43:Z43)</f>
        <v>-131729</v>
      </c>
      <c r="AH43" s="648"/>
      <c r="AI43" s="631"/>
      <c r="AJ43" s="649"/>
      <c r="AK43" s="649"/>
    </row>
    <row r="44" spans="1:37" ht="12.75" customHeight="1" x14ac:dyDescent="0.2">
      <c r="A44" s="631"/>
      <c r="B44" s="631"/>
      <c r="C44" s="658"/>
      <c r="D44" s="652" t="s">
        <v>626</v>
      </c>
      <c r="E44" s="650"/>
      <c r="F44" s="619">
        <v>0</v>
      </c>
      <c r="G44" s="618">
        <v>0</v>
      </c>
      <c r="H44" s="618">
        <v>0</v>
      </c>
      <c r="I44" s="618">
        <v>0</v>
      </c>
      <c r="J44" s="618">
        <v>0</v>
      </c>
      <c r="K44" s="618">
        <v>0</v>
      </c>
      <c r="L44" s="618">
        <v>-66260</v>
      </c>
      <c r="M44" s="618">
        <v>0</v>
      </c>
      <c r="N44" s="618">
        <v>0</v>
      </c>
      <c r="O44" s="618">
        <v>0</v>
      </c>
      <c r="P44" s="618">
        <v>0</v>
      </c>
      <c r="Q44" s="618">
        <v>0</v>
      </c>
      <c r="R44" s="618">
        <v>0</v>
      </c>
      <c r="S44" s="618">
        <f t="shared" si="7"/>
        <v>-66260</v>
      </c>
      <c r="T44" s="619">
        <v>-252652</v>
      </c>
      <c r="U44" s="618">
        <v>0</v>
      </c>
      <c r="V44" s="618">
        <v>0</v>
      </c>
      <c r="W44" s="618">
        <v>-23306</v>
      </c>
      <c r="X44" s="618">
        <v>-119905</v>
      </c>
      <c r="Y44" s="618">
        <v>-217</v>
      </c>
      <c r="Z44" s="618">
        <v>0</v>
      </c>
      <c r="AA44" s="618">
        <v>-30</v>
      </c>
      <c r="AB44" s="618">
        <v>-1360</v>
      </c>
      <c r="AC44" s="618">
        <v>-107525</v>
      </c>
      <c r="AD44" s="618">
        <v>-298</v>
      </c>
      <c r="AE44" s="618">
        <v>0</v>
      </c>
      <c r="AF44" s="618">
        <v>-11</v>
      </c>
      <c r="AG44" s="618">
        <f t="shared" si="8"/>
        <v>-143428</v>
      </c>
      <c r="AH44" s="648"/>
      <c r="AI44" s="631"/>
      <c r="AJ44" s="649"/>
      <c r="AK44" s="649"/>
    </row>
    <row r="45" spans="1:37" x14ac:dyDescent="0.2">
      <c r="A45" s="631"/>
      <c r="B45" s="631"/>
      <c r="C45" s="658"/>
      <c r="D45" s="652" t="s">
        <v>627</v>
      </c>
      <c r="E45" s="650"/>
      <c r="F45" s="619">
        <v>0</v>
      </c>
      <c r="G45" s="618">
        <v>0</v>
      </c>
      <c r="H45" s="618">
        <v>0</v>
      </c>
      <c r="I45" s="618">
        <v>0</v>
      </c>
      <c r="J45" s="618">
        <v>0</v>
      </c>
      <c r="K45" s="618">
        <v>0</v>
      </c>
      <c r="L45" s="618">
        <v>0</v>
      </c>
      <c r="M45" s="618">
        <v>0</v>
      </c>
      <c r="N45" s="618">
        <v>0</v>
      </c>
      <c r="O45" s="618">
        <v>0</v>
      </c>
      <c r="P45" s="618">
        <v>0</v>
      </c>
      <c r="Q45" s="618">
        <v>0</v>
      </c>
      <c r="R45" s="618">
        <v>0</v>
      </c>
      <c r="S45" s="618">
        <f t="shared" si="7"/>
        <v>0</v>
      </c>
      <c r="T45" s="619">
        <v>-83878</v>
      </c>
      <c r="U45" s="618">
        <v>0</v>
      </c>
      <c r="V45" s="618">
        <v>-83878</v>
      </c>
      <c r="W45" s="618">
        <v>0</v>
      </c>
      <c r="X45" s="618">
        <v>0</v>
      </c>
      <c r="Y45" s="618">
        <v>0</v>
      </c>
      <c r="Z45" s="618">
        <v>0</v>
      </c>
      <c r="AA45" s="618">
        <v>0</v>
      </c>
      <c r="AB45" s="618">
        <v>0</v>
      </c>
      <c r="AC45" s="618">
        <v>0</v>
      </c>
      <c r="AD45" s="618">
        <v>0</v>
      </c>
      <c r="AE45" s="618">
        <v>0</v>
      </c>
      <c r="AF45" s="618">
        <v>0</v>
      </c>
      <c r="AG45" s="618">
        <f t="shared" si="8"/>
        <v>-83878</v>
      </c>
      <c r="AH45" s="648"/>
      <c r="AI45" s="631"/>
      <c r="AJ45" s="649"/>
      <c r="AK45" s="649"/>
    </row>
    <row r="46" spans="1:37" hidden="1" x14ac:dyDescent="0.2">
      <c r="A46" s="631"/>
      <c r="B46" s="631"/>
      <c r="C46" s="658"/>
      <c r="D46" s="652" t="s">
        <v>628</v>
      </c>
      <c r="E46" s="650"/>
      <c r="F46" s="157">
        <v>0</v>
      </c>
      <c r="G46" s="618">
        <v>0</v>
      </c>
      <c r="H46" s="618">
        <v>0</v>
      </c>
      <c r="I46" s="618">
        <v>0</v>
      </c>
      <c r="J46" s="618">
        <v>0</v>
      </c>
      <c r="K46" s="618">
        <v>0</v>
      </c>
      <c r="L46" s="618">
        <v>0</v>
      </c>
      <c r="M46" s="618">
        <v>0</v>
      </c>
      <c r="N46" s="618">
        <v>0</v>
      </c>
      <c r="O46" s="618">
        <v>0</v>
      </c>
      <c r="P46" s="618">
        <v>0</v>
      </c>
      <c r="Q46" s="618">
        <v>0</v>
      </c>
      <c r="R46" s="618">
        <v>0</v>
      </c>
      <c r="S46" s="618">
        <f t="shared" si="7"/>
        <v>0</v>
      </c>
      <c r="T46" s="157">
        <v>0</v>
      </c>
      <c r="U46" s="618">
        <v>0</v>
      </c>
      <c r="V46" s="618">
        <v>0</v>
      </c>
      <c r="W46" s="618">
        <v>0</v>
      </c>
      <c r="X46" s="618">
        <v>0</v>
      </c>
      <c r="Y46" s="618">
        <v>0</v>
      </c>
      <c r="Z46" s="618">
        <v>0</v>
      </c>
      <c r="AA46" s="618">
        <v>0</v>
      </c>
      <c r="AB46" s="618">
        <v>0</v>
      </c>
      <c r="AC46" s="618">
        <v>0</v>
      </c>
      <c r="AD46" s="618">
        <v>0</v>
      </c>
      <c r="AE46" s="618">
        <v>0</v>
      </c>
      <c r="AF46" s="618">
        <v>0</v>
      </c>
      <c r="AG46" s="618">
        <f t="shared" si="8"/>
        <v>0</v>
      </c>
      <c r="AH46" s="648"/>
      <c r="AI46" s="631"/>
      <c r="AJ46" s="649"/>
      <c r="AK46" s="649"/>
    </row>
    <row r="47" spans="1:37" ht="12.75" hidden="1" customHeight="1" x14ac:dyDescent="0.2">
      <c r="A47" s="631"/>
      <c r="B47" s="631"/>
      <c r="C47" s="658"/>
      <c r="D47" s="39" t="s">
        <v>629</v>
      </c>
      <c r="E47" s="115"/>
      <c r="F47" s="157">
        <v>0</v>
      </c>
      <c r="G47" s="618">
        <v>0</v>
      </c>
      <c r="H47" s="618">
        <v>0</v>
      </c>
      <c r="I47" s="618">
        <v>0</v>
      </c>
      <c r="J47" s="618">
        <v>0</v>
      </c>
      <c r="K47" s="618">
        <v>0</v>
      </c>
      <c r="L47" s="618">
        <v>0</v>
      </c>
      <c r="M47" s="618">
        <v>0</v>
      </c>
      <c r="N47" s="618">
        <v>0</v>
      </c>
      <c r="O47" s="618">
        <v>0</v>
      </c>
      <c r="P47" s="618">
        <v>0</v>
      </c>
      <c r="Q47" s="618">
        <v>0</v>
      </c>
      <c r="R47" s="618">
        <v>0</v>
      </c>
      <c r="S47" s="618">
        <f t="shared" si="7"/>
        <v>0</v>
      </c>
      <c r="T47" s="157">
        <v>0</v>
      </c>
      <c r="U47" s="618">
        <v>0</v>
      </c>
      <c r="V47" s="618">
        <v>0</v>
      </c>
      <c r="W47" s="618">
        <v>0</v>
      </c>
      <c r="X47" s="618">
        <v>0</v>
      </c>
      <c r="Y47" s="618">
        <v>0</v>
      </c>
      <c r="Z47" s="618">
        <v>0</v>
      </c>
      <c r="AA47" s="618">
        <v>0</v>
      </c>
      <c r="AB47" s="618">
        <v>0</v>
      </c>
      <c r="AC47" s="618">
        <v>0</v>
      </c>
      <c r="AD47" s="618">
        <v>0</v>
      </c>
      <c r="AE47" s="618">
        <v>0</v>
      </c>
      <c r="AF47" s="618">
        <v>0</v>
      </c>
      <c r="AG47" s="618">
        <f t="shared" si="8"/>
        <v>0</v>
      </c>
      <c r="AH47" s="648"/>
      <c r="AI47" s="631"/>
      <c r="AJ47" s="649"/>
      <c r="AK47" s="649"/>
    </row>
    <row r="48" spans="1:37" ht="12.75" hidden="1" customHeight="1" x14ac:dyDescent="0.2">
      <c r="A48" s="631"/>
      <c r="B48" s="631"/>
      <c r="C48" s="658"/>
      <c r="D48" s="39" t="s">
        <v>630</v>
      </c>
      <c r="E48" s="115"/>
      <c r="F48" s="157">
        <v>0</v>
      </c>
      <c r="G48" s="618">
        <v>0</v>
      </c>
      <c r="H48" s="618">
        <v>0</v>
      </c>
      <c r="I48" s="618">
        <v>0</v>
      </c>
      <c r="J48" s="618">
        <v>0</v>
      </c>
      <c r="K48" s="618">
        <v>0</v>
      </c>
      <c r="L48" s="618">
        <v>0</v>
      </c>
      <c r="M48" s="618">
        <v>0</v>
      </c>
      <c r="N48" s="618">
        <v>0</v>
      </c>
      <c r="O48" s="618">
        <v>0</v>
      </c>
      <c r="P48" s="618">
        <v>0</v>
      </c>
      <c r="Q48" s="618">
        <v>0</v>
      </c>
      <c r="R48" s="618">
        <v>0</v>
      </c>
      <c r="S48" s="618">
        <f t="shared" si="7"/>
        <v>0</v>
      </c>
      <c r="T48" s="157">
        <v>0</v>
      </c>
      <c r="U48" s="618">
        <v>0</v>
      </c>
      <c r="V48" s="618">
        <v>0</v>
      </c>
      <c r="W48" s="618">
        <v>0</v>
      </c>
      <c r="X48" s="618">
        <v>0</v>
      </c>
      <c r="Y48" s="618">
        <v>0</v>
      </c>
      <c r="Z48" s="618">
        <v>0</v>
      </c>
      <c r="AA48" s="618">
        <v>0</v>
      </c>
      <c r="AB48" s="618">
        <v>0</v>
      </c>
      <c r="AC48" s="618">
        <v>0</v>
      </c>
      <c r="AD48" s="618">
        <v>0</v>
      </c>
      <c r="AE48" s="618">
        <v>0</v>
      </c>
      <c r="AF48" s="618">
        <v>0</v>
      </c>
      <c r="AG48" s="618">
        <f t="shared" si="8"/>
        <v>0</v>
      </c>
      <c r="AH48" s="648"/>
      <c r="AI48" s="631"/>
      <c r="AJ48" s="649"/>
      <c r="AK48" s="649"/>
    </row>
    <row r="49" spans="1:37" ht="12.75" customHeight="1" x14ac:dyDescent="0.2">
      <c r="A49" s="631"/>
      <c r="B49" s="631"/>
      <c r="C49" s="658"/>
      <c r="D49" s="39" t="s">
        <v>631</v>
      </c>
      <c r="E49" s="115"/>
      <c r="F49" s="157">
        <v>0</v>
      </c>
      <c r="G49" s="618">
        <v>-18</v>
      </c>
      <c r="H49" s="618">
        <v>-3</v>
      </c>
      <c r="I49" s="618">
        <v>-2</v>
      </c>
      <c r="J49" s="618">
        <v>0</v>
      </c>
      <c r="K49" s="618">
        <v>-1</v>
      </c>
      <c r="L49" s="618">
        <v>0</v>
      </c>
      <c r="M49" s="618">
        <v>0</v>
      </c>
      <c r="N49" s="618">
        <v>0</v>
      </c>
      <c r="O49" s="618">
        <v>0</v>
      </c>
      <c r="P49" s="618">
        <v>0</v>
      </c>
      <c r="Q49" s="618">
        <v>0</v>
      </c>
      <c r="R49" s="618">
        <v>0</v>
      </c>
      <c r="S49" s="618">
        <f t="shared" si="7"/>
        <v>-24</v>
      </c>
      <c r="T49" s="157">
        <v>-209</v>
      </c>
      <c r="U49" s="618">
        <v>-143</v>
      </c>
      <c r="V49" s="618">
        <v>0</v>
      </c>
      <c r="W49" s="618">
        <v>0</v>
      </c>
      <c r="X49" s="618">
        <v>-1</v>
      </c>
      <c r="Y49" s="618">
        <v>-13</v>
      </c>
      <c r="Z49" s="618">
        <v>-21</v>
      </c>
      <c r="AA49" s="618">
        <v>0</v>
      </c>
      <c r="AB49" s="618">
        <v>-3</v>
      </c>
      <c r="AC49" s="618">
        <v>0</v>
      </c>
      <c r="AD49" s="618">
        <v>0</v>
      </c>
      <c r="AE49" s="618">
        <v>0</v>
      </c>
      <c r="AF49" s="618">
        <v>-28</v>
      </c>
      <c r="AG49" s="618">
        <f t="shared" si="8"/>
        <v>-178</v>
      </c>
      <c r="AH49" s="648"/>
      <c r="AI49" s="631"/>
      <c r="AJ49" s="649"/>
      <c r="AK49" s="649"/>
    </row>
    <row r="50" spans="1:37" ht="12.75" hidden="1" customHeight="1" x14ac:dyDescent="0.2">
      <c r="A50" s="631"/>
      <c r="B50" s="631"/>
      <c r="C50" s="658"/>
      <c r="D50" s="39"/>
      <c r="E50" s="115"/>
      <c r="F50" s="157"/>
      <c r="G50" s="618"/>
      <c r="H50" s="618"/>
      <c r="I50" s="618"/>
      <c r="J50" s="618"/>
      <c r="K50" s="618"/>
      <c r="L50" s="618"/>
      <c r="M50" s="618"/>
      <c r="N50" s="618"/>
      <c r="O50" s="618"/>
      <c r="P50" s="618"/>
      <c r="Q50" s="618"/>
      <c r="R50" s="618"/>
      <c r="S50" s="618"/>
      <c r="T50" s="157"/>
      <c r="U50" s="618"/>
      <c r="V50" s="618"/>
      <c r="W50" s="618"/>
      <c r="X50" s="618"/>
      <c r="Y50" s="618"/>
      <c r="Z50" s="618"/>
      <c r="AA50" s="618"/>
      <c r="AB50" s="618"/>
      <c r="AC50" s="618"/>
      <c r="AD50" s="618"/>
      <c r="AE50" s="618"/>
      <c r="AF50" s="618"/>
      <c r="AG50" s="626"/>
      <c r="AH50" s="648"/>
      <c r="AI50" s="631"/>
      <c r="AJ50" s="649"/>
      <c r="AK50" s="649"/>
    </row>
    <row r="51" spans="1:37" ht="12.75" hidden="1" customHeight="1" x14ac:dyDescent="0.2">
      <c r="A51" s="631"/>
      <c r="B51" s="631"/>
      <c r="C51" s="658"/>
      <c r="D51" s="39"/>
      <c r="E51" s="115"/>
      <c r="F51" s="157"/>
      <c r="G51" s="618"/>
      <c r="H51" s="618"/>
      <c r="I51" s="618"/>
      <c r="J51" s="618"/>
      <c r="K51" s="618"/>
      <c r="L51" s="618"/>
      <c r="M51" s="618"/>
      <c r="N51" s="618"/>
      <c r="O51" s="618"/>
      <c r="P51" s="618"/>
      <c r="Q51" s="618"/>
      <c r="R51" s="618"/>
      <c r="S51" s="618"/>
      <c r="T51" s="157"/>
      <c r="U51" s="618"/>
      <c r="V51" s="618"/>
      <c r="W51" s="618"/>
      <c r="X51" s="618"/>
      <c r="Y51" s="618"/>
      <c r="Z51" s="618"/>
      <c r="AA51" s="618"/>
      <c r="AB51" s="618"/>
      <c r="AC51" s="618"/>
      <c r="AD51" s="618"/>
      <c r="AE51" s="618"/>
      <c r="AF51" s="618"/>
      <c r="AG51" s="626"/>
      <c r="AH51" s="648"/>
      <c r="AI51" s="631"/>
      <c r="AJ51" s="649"/>
      <c r="AK51" s="649"/>
    </row>
    <row r="52" spans="1:37" ht="12.75" hidden="1" customHeight="1" x14ac:dyDescent="0.2">
      <c r="A52" s="631"/>
      <c r="B52" s="631"/>
      <c r="C52" s="658"/>
      <c r="D52" s="39"/>
      <c r="E52" s="115"/>
      <c r="F52" s="157"/>
      <c r="G52" s="618"/>
      <c r="H52" s="618"/>
      <c r="I52" s="618"/>
      <c r="J52" s="618"/>
      <c r="K52" s="618"/>
      <c r="L52" s="618"/>
      <c r="M52" s="618"/>
      <c r="N52" s="618"/>
      <c r="O52" s="618"/>
      <c r="P52" s="618"/>
      <c r="Q52" s="618"/>
      <c r="R52" s="618"/>
      <c r="S52" s="618"/>
      <c r="T52" s="157"/>
      <c r="U52" s="618"/>
      <c r="V52" s="618"/>
      <c r="W52" s="618"/>
      <c r="X52" s="618"/>
      <c r="Y52" s="618"/>
      <c r="Z52" s="618"/>
      <c r="AA52" s="618"/>
      <c r="AB52" s="618"/>
      <c r="AC52" s="618"/>
      <c r="AD52" s="618"/>
      <c r="AE52" s="618"/>
      <c r="AF52" s="618"/>
      <c r="AG52" s="626"/>
      <c r="AH52" s="648"/>
      <c r="AI52" s="631"/>
      <c r="AJ52" s="649"/>
      <c r="AK52" s="649"/>
    </row>
    <row r="53" spans="1:37" ht="12.75" hidden="1" customHeight="1" x14ac:dyDescent="0.2">
      <c r="A53" s="631"/>
      <c r="B53" s="631"/>
      <c r="C53" s="658"/>
      <c r="D53" s="39"/>
      <c r="E53" s="115"/>
      <c r="F53" s="157"/>
      <c r="G53" s="618"/>
      <c r="H53" s="618"/>
      <c r="I53" s="618"/>
      <c r="J53" s="618"/>
      <c r="K53" s="618"/>
      <c r="L53" s="618"/>
      <c r="M53" s="618"/>
      <c r="N53" s="618"/>
      <c r="O53" s="618"/>
      <c r="P53" s="618"/>
      <c r="Q53" s="618"/>
      <c r="R53" s="618"/>
      <c r="S53" s="618"/>
      <c r="T53" s="157"/>
      <c r="U53" s="618"/>
      <c r="V53" s="618"/>
      <c r="W53" s="618"/>
      <c r="X53" s="618"/>
      <c r="Y53" s="618"/>
      <c r="Z53" s="618"/>
      <c r="AA53" s="618"/>
      <c r="AB53" s="618"/>
      <c r="AC53" s="618"/>
      <c r="AD53" s="618"/>
      <c r="AE53" s="618"/>
      <c r="AF53" s="618"/>
      <c r="AG53" s="626"/>
      <c r="AH53" s="648"/>
      <c r="AI53" s="631"/>
      <c r="AJ53" s="649"/>
      <c r="AK53" s="649"/>
    </row>
    <row r="54" spans="1:37" ht="12.75" hidden="1" customHeight="1" x14ac:dyDescent="0.2">
      <c r="A54" s="631"/>
      <c r="B54" s="631"/>
      <c r="C54" s="658"/>
      <c r="D54" s="39"/>
      <c r="E54" s="115"/>
      <c r="F54" s="157"/>
      <c r="G54" s="618"/>
      <c r="H54" s="618"/>
      <c r="I54" s="618"/>
      <c r="J54" s="618"/>
      <c r="K54" s="618"/>
      <c r="L54" s="618"/>
      <c r="M54" s="618"/>
      <c r="N54" s="618"/>
      <c r="O54" s="618"/>
      <c r="P54" s="618"/>
      <c r="Q54" s="618"/>
      <c r="R54" s="618"/>
      <c r="S54" s="618"/>
      <c r="T54" s="157"/>
      <c r="U54" s="618"/>
      <c r="V54" s="618"/>
      <c r="W54" s="618"/>
      <c r="X54" s="618"/>
      <c r="Y54" s="618"/>
      <c r="Z54" s="618"/>
      <c r="AA54" s="618"/>
      <c r="AB54" s="618"/>
      <c r="AC54" s="618"/>
      <c r="AD54" s="618"/>
      <c r="AE54" s="618"/>
      <c r="AF54" s="618"/>
      <c r="AG54" s="626"/>
      <c r="AH54" s="648"/>
      <c r="AI54" s="631"/>
      <c r="AJ54" s="649"/>
      <c r="AK54" s="649"/>
    </row>
    <row r="55" spans="1:37" ht="12.75" hidden="1" customHeight="1" x14ac:dyDescent="0.2">
      <c r="A55" s="631"/>
      <c r="B55" s="631"/>
      <c r="C55" s="658"/>
      <c r="D55" s="39"/>
      <c r="E55" s="115"/>
      <c r="F55" s="157"/>
      <c r="G55" s="618"/>
      <c r="H55" s="618"/>
      <c r="I55" s="618"/>
      <c r="J55" s="618"/>
      <c r="K55" s="618"/>
      <c r="L55" s="618"/>
      <c r="M55" s="618"/>
      <c r="N55" s="618"/>
      <c r="O55" s="618"/>
      <c r="P55" s="618"/>
      <c r="Q55" s="618"/>
      <c r="R55" s="618"/>
      <c r="S55" s="618"/>
      <c r="T55" s="157"/>
      <c r="U55" s="618"/>
      <c r="V55" s="618"/>
      <c r="W55" s="618"/>
      <c r="X55" s="618"/>
      <c r="Y55" s="618"/>
      <c r="Z55" s="618"/>
      <c r="AA55" s="618"/>
      <c r="AB55" s="618"/>
      <c r="AC55" s="618"/>
      <c r="AD55" s="618"/>
      <c r="AE55" s="618"/>
      <c r="AF55" s="618"/>
      <c r="AG55" s="626"/>
      <c r="AH55" s="648"/>
      <c r="AI55" s="631"/>
      <c r="AJ55" s="649"/>
      <c r="AK55" s="649"/>
    </row>
    <row r="56" spans="1:37" ht="12.75" hidden="1" customHeight="1" x14ac:dyDescent="0.2">
      <c r="A56" s="631"/>
      <c r="B56" s="631"/>
      <c r="C56" s="658"/>
      <c r="D56" s="39"/>
      <c r="E56" s="115"/>
      <c r="F56" s="157"/>
      <c r="G56" s="618"/>
      <c r="H56" s="618"/>
      <c r="I56" s="618"/>
      <c r="J56" s="618"/>
      <c r="K56" s="618"/>
      <c r="L56" s="618"/>
      <c r="M56" s="618"/>
      <c r="N56" s="618"/>
      <c r="O56" s="618"/>
      <c r="P56" s="618"/>
      <c r="Q56" s="618"/>
      <c r="R56" s="618"/>
      <c r="S56" s="618"/>
      <c r="T56" s="157"/>
      <c r="U56" s="618"/>
      <c r="V56" s="618"/>
      <c r="W56" s="618"/>
      <c r="X56" s="618"/>
      <c r="Y56" s="618"/>
      <c r="Z56" s="618"/>
      <c r="AA56" s="618"/>
      <c r="AB56" s="618"/>
      <c r="AC56" s="618"/>
      <c r="AD56" s="618"/>
      <c r="AE56" s="618"/>
      <c r="AF56" s="618"/>
      <c r="AG56" s="626"/>
      <c r="AH56" s="648"/>
      <c r="AI56" s="631"/>
      <c r="AJ56" s="649"/>
      <c r="AK56" s="649"/>
    </row>
    <row r="57" spans="1:37" ht="12.75" hidden="1" customHeight="1" x14ac:dyDescent="0.2">
      <c r="A57" s="631"/>
      <c r="B57" s="631"/>
      <c r="C57" s="658"/>
      <c r="D57" s="39"/>
      <c r="E57" s="115"/>
      <c r="F57" s="157"/>
      <c r="G57" s="618"/>
      <c r="H57" s="618"/>
      <c r="I57" s="618"/>
      <c r="J57" s="618"/>
      <c r="K57" s="618"/>
      <c r="L57" s="618"/>
      <c r="M57" s="618"/>
      <c r="N57" s="618"/>
      <c r="O57" s="618"/>
      <c r="P57" s="618"/>
      <c r="Q57" s="618"/>
      <c r="R57" s="618"/>
      <c r="S57" s="618"/>
      <c r="T57" s="157"/>
      <c r="U57" s="618"/>
      <c r="V57" s="618"/>
      <c r="W57" s="618"/>
      <c r="X57" s="618"/>
      <c r="Y57" s="618"/>
      <c r="Z57" s="618"/>
      <c r="AA57" s="618"/>
      <c r="AB57" s="618"/>
      <c r="AC57" s="618"/>
      <c r="AD57" s="618"/>
      <c r="AE57" s="618"/>
      <c r="AF57" s="618"/>
      <c r="AG57" s="626"/>
      <c r="AH57" s="648"/>
      <c r="AI57" s="631"/>
      <c r="AJ57" s="649"/>
      <c r="AK57" s="649"/>
    </row>
    <row r="58" spans="1:37" ht="12.75" hidden="1" customHeight="1" x14ac:dyDescent="0.2">
      <c r="A58" s="631"/>
      <c r="B58" s="631"/>
      <c r="C58" s="658"/>
      <c r="D58" s="39"/>
      <c r="E58" s="115"/>
      <c r="F58" s="157"/>
      <c r="G58" s="618"/>
      <c r="H58" s="618"/>
      <c r="I58" s="618"/>
      <c r="J58" s="618"/>
      <c r="K58" s="618"/>
      <c r="L58" s="618"/>
      <c r="M58" s="618"/>
      <c r="N58" s="618"/>
      <c r="O58" s="618"/>
      <c r="P58" s="618"/>
      <c r="Q58" s="618"/>
      <c r="R58" s="618"/>
      <c r="S58" s="618"/>
      <c r="T58" s="157"/>
      <c r="U58" s="618"/>
      <c r="V58" s="618"/>
      <c r="W58" s="618"/>
      <c r="X58" s="618"/>
      <c r="Y58" s="618"/>
      <c r="Z58" s="618"/>
      <c r="AA58" s="618"/>
      <c r="AB58" s="618"/>
      <c r="AC58" s="618"/>
      <c r="AD58" s="618"/>
      <c r="AE58" s="618"/>
      <c r="AF58" s="618"/>
      <c r="AG58" s="626"/>
      <c r="AH58" s="648"/>
      <c r="AI58" s="631"/>
      <c r="AJ58" s="649"/>
      <c r="AK58" s="649"/>
    </row>
    <row r="59" spans="1:37" ht="12.75" hidden="1" customHeight="1" x14ac:dyDescent="0.2">
      <c r="A59" s="631"/>
      <c r="B59" s="631"/>
      <c r="C59" s="658"/>
      <c r="D59" s="39"/>
      <c r="E59" s="115"/>
      <c r="F59" s="157"/>
      <c r="G59" s="618"/>
      <c r="H59" s="618"/>
      <c r="I59" s="618"/>
      <c r="J59" s="618"/>
      <c r="K59" s="618"/>
      <c r="L59" s="618"/>
      <c r="M59" s="618"/>
      <c r="N59" s="618"/>
      <c r="O59" s="618"/>
      <c r="P59" s="618"/>
      <c r="Q59" s="618"/>
      <c r="R59" s="618"/>
      <c r="S59" s="618"/>
      <c r="T59" s="157"/>
      <c r="U59" s="618"/>
      <c r="V59" s="618"/>
      <c r="W59" s="618"/>
      <c r="X59" s="618"/>
      <c r="Y59" s="618"/>
      <c r="Z59" s="618"/>
      <c r="AA59" s="618"/>
      <c r="AB59" s="618"/>
      <c r="AC59" s="618"/>
      <c r="AD59" s="618"/>
      <c r="AE59" s="618"/>
      <c r="AF59" s="618"/>
      <c r="AG59" s="626"/>
      <c r="AH59" s="648"/>
      <c r="AI59" s="631"/>
      <c r="AJ59" s="649"/>
      <c r="AK59" s="649"/>
    </row>
    <row r="60" spans="1:37" ht="12.75" hidden="1" customHeight="1" x14ac:dyDescent="0.2">
      <c r="A60" s="631"/>
      <c r="B60" s="631"/>
      <c r="C60" s="658"/>
      <c r="D60" s="39"/>
      <c r="E60" s="115"/>
      <c r="F60" s="157"/>
      <c r="G60" s="618"/>
      <c r="H60" s="618"/>
      <c r="I60" s="618"/>
      <c r="J60" s="618"/>
      <c r="K60" s="618"/>
      <c r="L60" s="618"/>
      <c r="M60" s="618"/>
      <c r="N60" s="618"/>
      <c r="O60" s="618"/>
      <c r="P60" s="618"/>
      <c r="Q60" s="618"/>
      <c r="R60" s="618"/>
      <c r="S60" s="618"/>
      <c r="T60" s="157"/>
      <c r="U60" s="618"/>
      <c r="V60" s="618"/>
      <c r="W60" s="618"/>
      <c r="X60" s="618"/>
      <c r="Y60" s="618"/>
      <c r="Z60" s="618"/>
      <c r="AA60" s="618"/>
      <c r="AB60" s="618"/>
      <c r="AC60" s="618"/>
      <c r="AD60" s="618"/>
      <c r="AE60" s="618"/>
      <c r="AF60" s="618"/>
      <c r="AG60" s="626"/>
      <c r="AH60" s="648"/>
      <c r="AI60" s="631"/>
      <c r="AJ60" s="649"/>
      <c r="AK60" s="649"/>
    </row>
    <row r="61" spans="1:37" ht="12.75" hidden="1" customHeight="1" x14ac:dyDescent="0.2">
      <c r="A61" s="631"/>
      <c r="B61" s="631"/>
      <c r="C61" s="658"/>
      <c r="D61" s="39"/>
      <c r="E61" s="115"/>
      <c r="F61" s="157"/>
      <c r="G61" s="618"/>
      <c r="H61" s="618"/>
      <c r="I61" s="618"/>
      <c r="J61" s="618"/>
      <c r="K61" s="618"/>
      <c r="L61" s="618"/>
      <c r="M61" s="618"/>
      <c r="N61" s="618"/>
      <c r="O61" s="618"/>
      <c r="P61" s="618"/>
      <c r="Q61" s="618"/>
      <c r="R61" s="618"/>
      <c r="S61" s="618"/>
      <c r="T61" s="157"/>
      <c r="U61" s="618"/>
      <c r="V61" s="618"/>
      <c r="W61" s="618"/>
      <c r="X61" s="618"/>
      <c r="Y61" s="618"/>
      <c r="Z61" s="618"/>
      <c r="AA61" s="618"/>
      <c r="AB61" s="618"/>
      <c r="AC61" s="618"/>
      <c r="AD61" s="618"/>
      <c r="AE61" s="618"/>
      <c r="AF61" s="618"/>
      <c r="AG61" s="626"/>
      <c r="AH61" s="648"/>
      <c r="AI61" s="631"/>
      <c r="AJ61" s="649"/>
      <c r="AK61" s="649"/>
    </row>
    <row r="62" spans="1:37" ht="12.75" hidden="1" customHeight="1" x14ac:dyDescent="0.2">
      <c r="A62" s="631"/>
      <c r="B62" s="631"/>
      <c r="C62" s="658"/>
      <c r="D62" s="39"/>
      <c r="E62" s="115"/>
      <c r="F62" s="157"/>
      <c r="G62" s="618"/>
      <c r="H62" s="618"/>
      <c r="I62" s="618"/>
      <c r="J62" s="618"/>
      <c r="K62" s="618"/>
      <c r="L62" s="618"/>
      <c r="M62" s="618"/>
      <c r="N62" s="618"/>
      <c r="O62" s="618"/>
      <c r="P62" s="618"/>
      <c r="Q62" s="618"/>
      <c r="R62" s="618"/>
      <c r="S62" s="618"/>
      <c r="T62" s="157"/>
      <c r="U62" s="618"/>
      <c r="V62" s="618"/>
      <c r="W62" s="618"/>
      <c r="X62" s="618"/>
      <c r="Y62" s="618"/>
      <c r="Z62" s="618"/>
      <c r="AA62" s="618"/>
      <c r="AB62" s="618"/>
      <c r="AC62" s="618"/>
      <c r="AD62" s="618"/>
      <c r="AE62" s="618"/>
      <c r="AF62" s="618"/>
      <c r="AG62" s="626"/>
      <c r="AH62" s="648"/>
      <c r="AI62" s="631"/>
      <c r="AJ62" s="649"/>
      <c r="AK62" s="649"/>
    </row>
    <row r="63" spans="1:37" hidden="1" x14ac:dyDescent="0.2">
      <c r="A63" s="631"/>
      <c r="B63" s="631"/>
      <c r="C63" s="658"/>
      <c r="D63" s="39"/>
      <c r="E63" s="115"/>
      <c r="F63" s="157"/>
      <c r="G63" s="618"/>
      <c r="H63" s="618"/>
      <c r="I63" s="618"/>
      <c r="J63" s="618"/>
      <c r="K63" s="618"/>
      <c r="L63" s="618"/>
      <c r="M63" s="618"/>
      <c r="N63" s="618"/>
      <c r="O63" s="618"/>
      <c r="P63" s="618"/>
      <c r="Q63" s="618"/>
      <c r="R63" s="618"/>
      <c r="S63" s="618"/>
      <c r="T63" s="157"/>
      <c r="U63" s="618"/>
      <c r="V63" s="618"/>
      <c r="W63" s="618"/>
      <c r="X63" s="618"/>
      <c r="Y63" s="618"/>
      <c r="Z63" s="618"/>
      <c r="AA63" s="618"/>
      <c r="AB63" s="618"/>
      <c r="AC63" s="618"/>
      <c r="AD63" s="618"/>
      <c r="AE63" s="618"/>
      <c r="AF63" s="618"/>
      <c r="AG63" s="626"/>
      <c r="AH63" s="648"/>
      <c r="AI63" s="631"/>
      <c r="AJ63" s="649"/>
      <c r="AK63" s="649"/>
    </row>
    <row r="64" spans="1:37" ht="12.75" customHeight="1" x14ac:dyDescent="0.2">
      <c r="A64" s="631"/>
      <c r="B64" s="631"/>
      <c r="C64" s="659"/>
      <c r="D64" s="660"/>
      <c r="E64" s="661"/>
      <c r="F64" s="662"/>
      <c r="G64" s="622"/>
      <c r="H64" s="622"/>
      <c r="I64" s="622"/>
      <c r="J64" s="622"/>
      <c r="K64" s="622"/>
      <c r="L64" s="622"/>
      <c r="M64" s="622"/>
      <c r="N64" s="622"/>
      <c r="O64" s="622"/>
      <c r="P64" s="622"/>
      <c r="Q64" s="622"/>
      <c r="R64" s="622"/>
      <c r="S64" s="622"/>
      <c r="T64" s="662"/>
      <c r="U64" s="622"/>
      <c r="V64" s="622"/>
      <c r="W64" s="622"/>
      <c r="X64" s="622"/>
      <c r="Y64" s="622"/>
      <c r="Z64" s="622"/>
      <c r="AA64" s="622"/>
      <c r="AB64" s="622"/>
      <c r="AC64" s="622"/>
      <c r="AD64" s="622"/>
      <c r="AE64" s="622"/>
      <c r="AF64" s="622"/>
      <c r="AG64" s="623"/>
      <c r="AH64" s="648"/>
      <c r="AI64" s="631"/>
      <c r="AJ64" s="649"/>
      <c r="AK64" s="649"/>
    </row>
    <row r="65" spans="1:38" ht="12.75" hidden="1" customHeight="1" x14ac:dyDescent="0.2">
      <c r="A65" s="631"/>
      <c r="B65" s="631"/>
      <c r="C65" s="663" t="s">
        <v>632</v>
      </c>
      <c r="D65" s="664"/>
      <c r="E65" s="665"/>
      <c r="F65" s="666">
        <v>0</v>
      </c>
      <c r="G65" s="622">
        <v>0</v>
      </c>
      <c r="H65" s="622">
        <v>0</v>
      </c>
      <c r="I65" s="622">
        <v>0</v>
      </c>
      <c r="J65" s="622">
        <v>0</v>
      </c>
      <c r="K65" s="622">
        <v>0</v>
      </c>
      <c r="L65" s="622">
        <v>0</v>
      </c>
      <c r="M65" s="622">
        <v>0</v>
      </c>
      <c r="N65" s="622">
        <v>0</v>
      </c>
      <c r="O65" s="622">
        <v>0</v>
      </c>
      <c r="P65" s="622">
        <v>0</v>
      </c>
      <c r="Q65" s="622">
        <v>0</v>
      </c>
      <c r="R65" s="622">
        <v>0</v>
      </c>
      <c r="S65" s="622">
        <f>SUM(G65:R65)</f>
        <v>0</v>
      </c>
      <c r="T65" s="662">
        <v>0</v>
      </c>
      <c r="U65" s="622">
        <v>0</v>
      </c>
      <c r="V65" s="622">
        <v>0</v>
      </c>
      <c r="W65" s="622">
        <v>0</v>
      </c>
      <c r="X65" s="622">
        <v>0</v>
      </c>
      <c r="Y65" s="622">
        <v>0</v>
      </c>
      <c r="Z65" s="622">
        <v>0</v>
      </c>
      <c r="AA65" s="622">
        <v>0</v>
      </c>
      <c r="AB65" s="622">
        <v>0</v>
      </c>
      <c r="AC65" s="622">
        <v>0</v>
      </c>
      <c r="AD65" s="622">
        <v>0</v>
      </c>
      <c r="AE65" s="622">
        <v>0</v>
      </c>
      <c r="AF65" s="622">
        <v>0</v>
      </c>
      <c r="AG65" s="623">
        <f>SUM(U65:V65)</f>
        <v>0</v>
      </c>
      <c r="AH65" s="648"/>
      <c r="AI65" s="631"/>
      <c r="AJ65" s="649"/>
      <c r="AK65" s="649"/>
    </row>
    <row r="66" spans="1:38" s="671" customFormat="1" ht="15" customHeight="1" x14ac:dyDescent="0.2">
      <c r="A66" s="631"/>
      <c r="B66" s="631"/>
      <c r="C66" s="667" t="s">
        <v>633</v>
      </c>
      <c r="D66" s="668"/>
      <c r="E66" s="290"/>
      <c r="F66" s="137"/>
      <c r="G66" s="137"/>
      <c r="H66" s="137"/>
      <c r="I66" s="137"/>
      <c r="J66" s="137"/>
      <c r="K66" s="137"/>
      <c r="L66" s="137"/>
      <c r="M66" s="620"/>
      <c r="N66" s="620"/>
      <c r="O66" s="620"/>
      <c r="P66" s="620"/>
      <c r="Q66" s="620"/>
      <c r="R66" s="620"/>
      <c r="S66" s="620"/>
      <c r="T66" s="137"/>
      <c r="U66" s="137"/>
      <c r="V66" s="137"/>
      <c r="W66" s="137"/>
      <c r="X66" s="137"/>
      <c r="Y66" s="137"/>
      <c r="Z66" s="137"/>
      <c r="AA66" s="620"/>
      <c r="AB66" s="620"/>
      <c r="AC66" s="620"/>
      <c r="AD66" s="620"/>
      <c r="AE66" s="620"/>
      <c r="AF66" s="620"/>
      <c r="AG66" s="620"/>
      <c r="AH66" s="669"/>
      <c r="AI66" s="670"/>
    </row>
    <row r="67" spans="1:38" x14ac:dyDescent="0.2">
      <c r="A67" s="631"/>
      <c r="B67" s="631"/>
      <c r="C67" s="667" t="s">
        <v>634</v>
      </c>
      <c r="D67" s="668"/>
      <c r="E67" s="56"/>
      <c r="F67" s="16"/>
      <c r="G67" s="16"/>
      <c r="H67" s="38"/>
      <c r="I67" s="16"/>
      <c r="J67" s="16"/>
      <c r="K67" s="16"/>
      <c r="L67" s="16"/>
      <c r="M67" s="16"/>
      <c r="N67" s="16"/>
      <c r="O67" s="16"/>
      <c r="P67" s="16"/>
      <c r="Q67" s="16"/>
      <c r="R67" s="16"/>
      <c r="S67" s="38"/>
      <c r="T67" s="16"/>
      <c r="U67" s="16"/>
      <c r="V67" s="16"/>
      <c r="W67" s="16"/>
      <c r="X67" s="16"/>
      <c r="Y67" s="16"/>
      <c r="Z67" s="16"/>
      <c r="AA67" s="16"/>
      <c r="AB67" s="16"/>
      <c r="AC67" s="16"/>
      <c r="AD67" s="16"/>
      <c r="AE67" s="16"/>
      <c r="AF67" s="16"/>
      <c r="AG67" s="16"/>
      <c r="AH67" s="669"/>
      <c r="AI67" s="631"/>
      <c r="AJ67" s="672"/>
      <c r="AL67" s="649"/>
    </row>
    <row r="68" spans="1:38" x14ac:dyDescent="0.2">
      <c r="A68" s="631"/>
      <c r="B68" s="631"/>
      <c r="C68" s="667"/>
      <c r="D68" s="652"/>
      <c r="E68" s="115"/>
      <c r="F68" s="39"/>
      <c r="G68" s="39"/>
      <c r="H68" s="377"/>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669"/>
      <c r="AI68" s="631"/>
      <c r="AJ68" s="672"/>
      <c r="AL68" s="649"/>
    </row>
    <row r="69" spans="1:38" x14ac:dyDescent="0.2">
      <c r="A69" s="631"/>
      <c r="B69" s="631"/>
      <c r="C69" s="652"/>
      <c r="E69" s="39"/>
      <c r="F69" s="39"/>
      <c r="G69" s="39"/>
      <c r="H69" s="377"/>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631"/>
      <c r="AL69" s="673"/>
    </row>
    <row r="70" spans="1:38" ht="12.75" hidden="1" customHeight="1" x14ac:dyDescent="0.2">
      <c r="C70" s="636" t="s">
        <v>635</v>
      </c>
      <c r="H70" s="672"/>
    </row>
    <row r="71" spans="1:38" ht="12.75" hidden="1" customHeight="1" x14ac:dyDescent="0.2">
      <c r="C71" s="636" t="s">
        <v>636</v>
      </c>
      <c r="H71" s="672"/>
    </row>
    <row r="72" spans="1:38" ht="12.75" hidden="1" customHeight="1" x14ac:dyDescent="0.2">
      <c r="C72" s="636" t="s">
        <v>637</v>
      </c>
      <c r="H72" s="672"/>
    </row>
    <row r="73" spans="1:38" ht="12.75" hidden="1" customHeight="1" x14ac:dyDescent="0.2">
      <c r="C73" s="636" t="s">
        <v>638</v>
      </c>
      <c r="H73" s="672"/>
    </row>
    <row r="74" spans="1:38" ht="12.75" hidden="1" customHeight="1" x14ac:dyDescent="0.2">
      <c r="C74" s="636" t="s">
        <v>639</v>
      </c>
    </row>
    <row r="75" spans="1:38" ht="12.75" hidden="1" customHeight="1" x14ac:dyDescent="0.2">
      <c r="C75" s="636" t="s">
        <v>640</v>
      </c>
    </row>
    <row r="76" spans="1:38" ht="12.75" hidden="1" customHeight="1" x14ac:dyDescent="0.2">
      <c r="C76" s="636" t="s">
        <v>641</v>
      </c>
    </row>
    <row r="77" spans="1:38" hidden="1" x14ac:dyDescent="0.2">
      <c r="A77" s="631"/>
      <c r="B77" s="631"/>
      <c r="D77" s="674"/>
      <c r="M77" s="672"/>
      <c r="AH77" s="669"/>
      <c r="AI77" s="631"/>
    </row>
    <row r="78" spans="1:38" hidden="1" x14ac:dyDescent="0.2">
      <c r="A78" s="631"/>
      <c r="B78" s="631"/>
      <c r="T78" s="672"/>
      <c r="AH78" s="669"/>
      <c r="AI78" s="631"/>
    </row>
    <row r="79" spans="1:38" hidden="1" x14ac:dyDescent="0.2">
      <c r="C79" s="675"/>
      <c r="D79" s="675"/>
      <c r="E79" s="676"/>
      <c r="F79" s="676"/>
    </row>
    <row r="80" spans="1:38" hidden="1" x14ac:dyDescent="0.2">
      <c r="F80" s="672"/>
    </row>
    <row r="81" spans="4:33" hidden="1" x14ac:dyDescent="0.2">
      <c r="T81" s="621">
        <v>9603525</v>
      </c>
    </row>
    <row r="82" spans="4:33" hidden="1" x14ac:dyDescent="0.2">
      <c r="T82" s="621">
        <f>T81-S6</f>
        <v>-6413465</v>
      </c>
    </row>
    <row r="83" spans="4:33" hidden="1" x14ac:dyDescent="0.2">
      <c r="T83" s="621"/>
    </row>
    <row r="84" spans="4:33" hidden="1" x14ac:dyDescent="0.2">
      <c r="T84" s="621">
        <v>3335838</v>
      </c>
    </row>
    <row r="85" spans="4:33" hidden="1" x14ac:dyDescent="0.2">
      <c r="T85" s="621">
        <f>T84-S22</f>
        <v>-3982938</v>
      </c>
    </row>
    <row r="86" spans="4:33" hidden="1" x14ac:dyDescent="0.2">
      <c r="T86" s="621"/>
    </row>
    <row r="87" spans="4:33" s="628" customFormat="1" x14ac:dyDescent="0.2">
      <c r="E87" s="621"/>
      <c r="F87" s="621"/>
      <c r="G87" s="627"/>
      <c r="H87" s="627"/>
      <c r="I87" s="627"/>
      <c r="J87" s="627"/>
      <c r="K87" s="627"/>
      <c r="L87" s="627"/>
      <c r="M87" s="629"/>
      <c r="N87" s="627"/>
      <c r="O87" s="627"/>
      <c r="P87" s="627"/>
      <c r="Q87" s="627"/>
      <c r="R87" s="627"/>
      <c r="S87" s="630"/>
      <c r="T87" s="621"/>
      <c r="U87" s="621"/>
      <c r="V87" s="621"/>
      <c r="W87" s="621"/>
      <c r="X87" s="621"/>
      <c r="Y87" s="621"/>
      <c r="Z87" s="621"/>
      <c r="AA87" s="621"/>
      <c r="AB87" s="621"/>
      <c r="AC87" s="621"/>
      <c r="AD87" s="621"/>
      <c r="AE87" s="621"/>
      <c r="AF87" s="621"/>
      <c r="AG87" s="621"/>
    </row>
    <row r="88" spans="4:33" s="628" customFormat="1" x14ac:dyDescent="0.2">
      <c r="E88" s="621"/>
      <c r="F88" s="621"/>
      <c r="G88" s="627"/>
      <c r="H88" s="627"/>
      <c r="I88" s="627"/>
      <c r="J88" s="627"/>
      <c r="K88" s="627"/>
      <c r="L88" s="627"/>
      <c r="M88" s="627"/>
      <c r="N88" s="627"/>
      <c r="O88" s="627"/>
      <c r="P88" s="627"/>
      <c r="Q88" s="627"/>
      <c r="R88" s="627"/>
      <c r="S88" s="630"/>
      <c r="T88" s="627"/>
      <c r="U88" s="621"/>
      <c r="V88" s="621"/>
      <c r="W88" s="621"/>
      <c r="X88" s="621"/>
      <c r="Y88" s="621"/>
      <c r="Z88" s="621"/>
      <c r="AA88" s="621"/>
      <c r="AB88" s="621"/>
      <c r="AC88" s="621"/>
      <c r="AD88" s="621"/>
      <c r="AE88" s="621"/>
      <c r="AF88" s="621"/>
      <c r="AG88" s="621"/>
    </row>
    <row r="89" spans="4:33" s="628" customFormat="1" x14ac:dyDescent="0.2">
      <c r="E89" s="621"/>
      <c r="F89" s="621"/>
      <c r="G89" s="621"/>
      <c r="H89" s="621"/>
      <c r="I89" s="621"/>
      <c r="J89" s="621"/>
      <c r="K89" s="621"/>
      <c r="L89" s="621"/>
      <c r="M89" s="621"/>
      <c r="N89" s="621"/>
      <c r="O89" s="621"/>
      <c r="P89" s="621"/>
      <c r="Q89" s="621"/>
      <c r="R89" s="621"/>
      <c r="S89" s="630"/>
      <c r="T89" s="621"/>
      <c r="U89" s="621"/>
      <c r="V89" s="621"/>
      <c r="W89" s="621"/>
      <c r="X89" s="621"/>
      <c r="Y89" s="621"/>
      <c r="Z89" s="621"/>
      <c r="AA89" s="621"/>
      <c r="AB89" s="621"/>
      <c r="AC89" s="621"/>
      <c r="AD89" s="621"/>
      <c r="AE89" s="621"/>
      <c r="AF89" s="621"/>
      <c r="AG89" s="621"/>
    </row>
    <row r="90" spans="4:33" s="628" customFormat="1" x14ac:dyDescent="0.2">
      <c r="E90" s="621"/>
      <c r="F90" s="656"/>
      <c r="G90" s="629"/>
      <c r="H90" s="629"/>
      <c r="I90" s="629"/>
      <c r="J90" s="629"/>
      <c r="K90" s="629"/>
      <c r="L90" s="629"/>
      <c r="M90" s="629"/>
      <c r="N90" s="629"/>
      <c r="O90" s="629"/>
      <c r="P90" s="621"/>
      <c r="Q90" s="621"/>
      <c r="R90" s="621"/>
      <c r="S90" s="630"/>
      <c r="T90" s="621"/>
      <c r="U90" s="621"/>
      <c r="V90" s="621"/>
      <c r="W90" s="621"/>
      <c r="X90" s="621"/>
      <c r="Y90" s="621"/>
      <c r="Z90" s="621"/>
      <c r="AA90" s="621"/>
      <c r="AB90" s="621"/>
      <c r="AC90" s="621"/>
      <c r="AD90" s="621"/>
      <c r="AE90" s="621"/>
      <c r="AF90" s="621"/>
      <c r="AG90" s="621"/>
    </row>
    <row r="91" spans="4:33" ht="15.75" customHeight="1" x14ac:dyDescent="0.2">
      <c r="G91" s="627"/>
      <c r="H91" s="627"/>
      <c r="I91" s="627"/>
      <c r="J91" s="627"/>
      <c r="K91" s="627"/>
      <c r="L91" s="627"/>
      <c r="M91" s="627"/>
      <c r="N91" s="627"/>
      <c r="O91" s="627"/>
      <c r="S91" s="630"/>
    </row>
    <row r="92" spans="4:33" x14ac:dyDescent="0.2">
      <c r="S92" s="630"/>
      <c r="T92" s="627"/>
    </row>
    <row r="93" spans="4:33" x14ac:dyDescent="0.2">
      <c r="G93" s="672"/>
      <c r="H93" s="672"/>
      <c r="I93" s="672"/>
      <c r="J93" s="672"/>
      <c r="K93" s="672"/>
      <c r="L93" s="672"/>
      <c r="M93" s="672"/>
      <c r="N93" s="672"/>
      <c r="O93" s="672"/>
      <c r="S93" s="630"/>
    </row>
    <row r="94" spans="4:33" x14ac:dyDescent="0.2">
      <c r="D94" s="631"/>
      <c r="G94" s="672"/>
      <c r="H94" s="672"/>
      <c r="I94" s="672"/>
      <c r="J94" s="672"/>
      <c r="K94" s="672"/>
      <c r="L94" s="672"/>
      <c r="M94" s="672"/>
      <c r="N94" s="672"/>
      <c r="O94" s="672"/>
      <c r="P94" s="672"/>
      <c r="Q94" s="672"/>
      <c r="R94" s="672"/>
      <c r="S94" s="630"/>
    </row>
    <row r="95" spans="4:33" x14ac:dyDescent="0.2">
      <c r="D95" s="631"/>
      <c r="G95" s="672"/>
      <c r="H95" s="672"/>
      <c r="I95" s="672"/>
      <c r="J95" s="672"/>
      <c r="K95" s="672"/>
      <c r="L95" s="672"/>
      <c r="M95" s="672"/>
      <c r="N95" s="672"/>
      <c r="O95" s="672"/>
      <c r="P95" s="672"/>
      <c r="Q95" s="672"/>
      <c r="R95" s="672"/>
      <c r="S95" s="672"/>
    </row>
    <row r="96" spans="4:33" x14ac:dyDescent="0.2">
      <c r="G96" s="672"/>
      <c r="H96" s="672"/>
      <c r="I96" s="672"/>
      <c r="J96" s="672"/>
      <c r="K96" s="672"/>
      <c r="L96" s="672"/>
      <c r="M96" s="672"/>
      <c r="N96" s="672"/>
      <c r="O96" s="672"/>
      <c r="P96" s="672"/>
      <c r="Q96" s="672"/>
      <c r="R96" s="672"/>
      <c r="S96" s="672"/>
    </row>
    <row r="97" spans="7:19" x14ac:dyDescent="0.2">
      <c r="G97" s="672"/>
      <c r="H97" s="672"/>
      <c r="I97" s="672"/>
      <c r="J97" s="672"/>
      <c r="K97" s="672"/>
      <c r="L97" s="672"/>
      <c r="M97" s="672"/>
      <c r="N97" s="672"/>
      <c r="O97" s="672"/>
      <c r="P97" s="672"/>
      <c r="Q97" s="672"/>
      <c r="R97" s="672"/>
      <c r="S97" s="672"/>
    </row>
    <row r="98" spans="7:19" x14ac:dyDescent="0.2">
      <c r="G98" s="672"/>
      <c r="H98" s="672"/>
      <c r="I98" s="672"/>
      <c r="J98" s="672"/>
      <c r="K98" s="672"/>
      <c r="L98" s="672"/>
      <c r="M98" s="672"/>
      <c r="N98" s="672"/>
      <c r="O98" s="672"/>
      <c r="P98" s="672"/>
      <c r="Q98" s="672"/>
      <c r="R98" s="672"/>
      <c r="S98" s="672"/>
    </row>
    <row r="99" spans="7:19" x14ac:dyDescent="0.2">
      <c r="G99" s="672"/>
      <c r="H99" s="672"/>
      <c r="I99" s="672"/>
      <c r="J99" s="672"/>
      <c r="K99" s="672"/>
      <c r="L99" s="672"/>
      <c r="M99" s="672"/>
      <c r="N99" s="672"/>
      <c r="O99" s="672"/>
      <c r="P99" s="672"/>
      <c r="Q99" s="672"/>
      <c r="R99" s="672"/>
      <c r="S99" s="672"/>
    </row>
    <row r="100" spans="7:19" x14ac:dyDescent="0.2">
      <c r="G100" s="672"/>
      <c r="H100" s="672"/>
      <c r="I100" s="672"/>
      <c r="J100" s="672"/>
      <c r="K100" s="672"/>
      <c r="L100" s="672"/>
      <c r="M100" s="672"/>
      <c r="N100" s="672"/>
      <c r="O100" s="672"/>
      <c r="P100" s="672"/>
      <c r="Q100" s="672"/>
      <c r="R100" s="672"/>
      <c r="S100" s="672"/>
    </row>
    <row r="101" spans="7:19" x14ac:dyDescent="0.2">
      <c r="G101" s="672"/>
      <c r="H101" s="672"/>
      <c r="I101" s="672"/>
      <c r="J101" s="672"/>
      <c r="K101" s="672"/>
      <c r="L101" s="672"/>
      <c r="M101" s="672"/>
      <c r="N101" s="672"/>
      <c r="O101" s="672"/>
      <c r="P101" s="672"/>
      <c r="Q101" s="672"/>
      <c r="R101" s="672"/>
      <c r="S101" s="672"/>
    </row>
    <row r="102" spans="7:19" x14ac:dyDescent="0.2">
      <c r="G102" s="672"/>
      <c r="H102" s="672"/>
      <c r="I102" s="672"/>
      <c r="J102" s="672"/>
      <c r="K102" s="672"/>
      <c r="L102" s="672"/>
      <c r="M102" s="672"/>
      <c r="N102" s="672"/>
      <c r="O102" s="672"/>
      <c r="P102" s="672"/>
      <c r="Q102" s="672"/>
      <c r="R102" s="672"/>
      <c r="S102" s="672"/>
    </row>
    <row r="103" spans="7:19" x14ac:dyDescent="0.2">
      <c r="G103" s="672"/>
      <c r="H103" s="672"/>
      <c r="I103" s="672"/>
      <c r="J103" s="672"/>
      <c r="K103" s="672"/>
      <c r="L103" s="672"/>
      <c r="M103" s="672"/>
      <c r="N103" s="672"/>
      <c r="O103" s="672"/>
      <c r="P103" s="672"/>
      <c r="Q103" s="672"/>
      <c r="R103" s="672"/>
      <c r="S103" s="672"/>
    </row>
    <row r="104" spans="7:19" x14ac:dyDescent="0.2">
      <c r="G104" s="672"/>
      <c r="H104" s="672"/>
      <c r="I104" s="672"/>
      <c r="J104" s="672"/>
      <c r="K104" s="672"/>
      <c r="L104" s="672"/>
      <c r="M104" s="672"/>
      <c r="N104" s="672"/>
      <c r="O104" s="672"/>
      <c r="P104" s="672"/>
      <c r="Q104" s="672"/>
      <c r="R104" s="672"/>
      <c r="S104" s="672"/>
    </row>
    <row r="105" spans="7:19" x14ac:dyDescent="0.2">
      <c r="G105" s="672"/>
      <c r="H105" s="672"/>
      <c r="I105" s="672"/>
      <c r="J105" s="672"/>
      <c r="K105" s="672"/>
      <c r="L105" s="672"/>
      <c r="M105" s="672"/>
      <c r="N105" s="672"/>
      <c r="O105" s="672"/>
      <c r="P105" s="672"/>
      <c r="Q105" s="672"/>
      <c r="R105" s="672"/>
      <c r="S105" s="672"/>
    </row>
    <row r="106" spans="7:19" x14ac:dyDescent="0.2">
      <c r="G106" s="672"/>
      <c r="H106" s="672"/>
      <c r="I106" s="672"/>
      <c r="J106" s="672"/>
      <c r="K106" s="672"/>
      <c r="L106" s="672"/>
      <c r="M106" s="672"/>
      <c r="N106" s="672"/>
      <c r="O106" s="672"/>
      <c r="P106" s="672"/>
      <c r="Q106" s="672"/>
      <c r="R106" s="672"/>
      <c r="S106" s="672"/>
    </row>
    <row r="107" spans="7:19" x14ac:dyDescent="0.2">
      <c r="G107" s="672"/>
      <c r="H107" s="672"/>
      <c r="I107" s="672"/>
      <c r="J107" s="672"/>
      <c r="K107" s="672"/>
      <c r="L107" s="672"/>
      <c r="M107" s="672"/>
      <c r="N107" s="672"/>
      <c r="O107" s="672"/>
      <c r="P107" s="672"/>
      <c r="Q107" s="672"/>
      <c r="R107" s="672"/>
      <c r="S107" s="672"/>
    </row>
    <row r="108" spans="7:19" x14ac:dyDescent="0.2">
      <c r="G108" s="672"/>
      <c r="H108" s="672"/>
      <c r="I108" s="672"/>
      <c r="J108" s="672"/>
      <c r="K108" s="672"/>
      <c r="L108" s="672"/>
      <c r="M108" s="672"/>
      <c r="N108" s="672"/>
      <c r="O108" s="672"/>
      <c r="P108" s="672"/>
      <c r="Q108" s="672"/>
      <c r="R108" s="672"/>
      <c r="S108" s="672"/>
    </row>
    <row r="109" spans="7:19" x14ac:dyDescent="0.2">
      <c r="G109" s="672"/>
      <c r="H109" s="672"/>
      <c r="I109" s="672"/>
      <c r="J109" s="672"/>
      <c r="K109" s="672"/>
      <c r="L109" s="672"/>
      <c r="M109" s="672"/>
      <c r="N109" s="672"/>
      <c r="O109" s="672"/>
      <c r="P109" s="672"/>
      <c r="Q109" s="672"/>
      <c r="R109" s="672"/>
      <c r="S109" s="672"/>
    </row>
    <row r="110" spans="7:19" x14ac:dyDescent="0.2">
      <c r="G110" s="672"/>
      <c r="H110" s="672"/>
      <c r="I110" s="672"/>
      <c r="J110" s="672"/>
      <c r="K110" s="672"/>
      <c r="L110" s="672"/>
      <c r="M110" s="672"/>
      <c r="N110" s="672"/>
      <c r="O110" s="672"/>
      <c r="P110" s="672"/>
      <c r="Q110" s="672"/>
      <c r="R110" s="672"/>
      <c r="S110" s="672"/>
    </row>
    <row r="111" spans="7:19" x14ac:dyDescent="0.2">
      <c r="G111" s="672"/>
      <c r="H111" s="672"/>
      <c r="I111" s="672"/>
      <c r="J111" s="672"/>
      <c r="K111" s="672"/>
      <c r="L111" s="672"/>
      <c r="M111" s="672"/>
      <c r="N111" s="672"/>
      <c r="O111" s="672"/>
      <c r="P111" s="672"/>
      <c r="Q111" s="672"/>
      <c r="R111" s="672"/>
      <c r="S111" s="672"/>
    </row>
    <row r="112" spans="7:19" x14ac:dyDescent="0.2">
      <c r="G112" s="672"/>
      <c r="H112" s="672"/>
      <c r="I112" s="672"/>
      <c r="J112" s="672"/>
      <c r="K112" s="672"/>
      <c r="L112" s="672"/>
      <c r="M112" s="672"/>
      <c r="N112" s="672"/>
      <c r="O112" s="672"/>
      <c r="P112" s="672"/>
      <c r="Q112" s="672"/>
      <c r="R112" s="672"/>
      <c r="S112" s="672"/>
    </row>
    <row r="113" spans="7:19" x14ac:dyDescent="0.2">
      <c r="G113" s="672"/>
      <c r="H113" s="672"/>
      <c r="I113" s="672"/>
      <c r="J113" s="672"/>
      <c r="K113" s="672"/>
      <c r="L113" s="672"/>
      <c r="M113" s="672"/>
      <c r="N113" s="672"/>
      <c r="O113" s="672"/>
      <c r="P113" s="672"/>
      <c r="Q113" s="672"/>
      <c r="R113" s="672"/>
      <c r="S113" s="672"/>
    </row>
    <row r="114" spans="7:19" x14ac:dyDescent="0.2">
      <c r="G114" s="672"/>
      <c r="H114" s="672"/>
      <c r="I114" s="672"/>
      <c r="J114" s="672"/>
      <c r="K114" s="672"/>
      <c r="L114" s="672"/>
      <c r="M114" s="672"/>
      <c r="N114" s="672"/>
      <c r="O114" s="672"/>
      <c r="P114" s="672"/>
      <c r="Q114" s="672"/>
      <c r="R114" s="672"/>
      <c r="S114" s="672"/>
    </row>
    <row r="115" spans="7:19" x14ac:dyDescent="0.2">
      <c r="G115" s="672"/>
      <c r="H115" s="672"/>
      <c r="I115" s="672"/>
      <c r="J115" s="672"/>
      <c r="K115" s="672"/>
      <c r="L115" s="672"/>
      <c r="M115" s="672"/>
      <c r="N115" s="672"/>
      <c r="O115" s="672"/>
      <c r="P115" s="672"/>
      <c r="Q115" s="672"/>
      <c r="R115" s="672"/>
      <c r="S115" s="672"/>
    </row>
    <row r="116" spans="7:19" x14ac:dyDescent="0.2">
      <c r="G116" s="672"/>
      <c r="H116" s="672"/>
      <c r="I116" s="672"/>
      <c r="J116" s="672"/>
      <c r="K116" s="672"/>
      <c r="L116" s="672"/>
      <c r="M116" s="672"/>
      <c r="N116" s="672"/>
      <c r="O116" s="672"/>
      <c r="P116" s="672"/>
      <c r="Q116" s="672"/>
      <c r="R116" s="672"/>
      <c r="S116" s="672"/>
    </row>
    <row r="117" spans="7:19" x14ac:dyDescent="0.2">
      <c r="G117" s="672"/>
      <c r="H117" s="672"/>
      <c r="I117" s="672"/>
      <c r="J117" s="672"/>
      <c r="K117" s="672"/>
      <c r="L117" s="672"/>
      <c r="M117" s="672"/>
      <c r="N117" s="672"/>
      <c r="O117" s="672"/>
      <c r="P117" s="672"/>
      <c r="Q117" s="672"/>
      <c r="R117" s="672"/>
      <c r="S117" s="672"/>
    </row>
    <row r="118" spans="7:19" x14ac:dyDescent="0.2">
      <c r="G118" s="672"/>
      <c r="H118" s="672"/>
      <c r="I118" s="672"/>
      <c r="J118" s="672"/>
      <c r="K118" s="672"/>
      <c r="L118" s="672"/>
      <c r="M118" s="672"/>
      <c r="N118" s="672"/>
      <c r="O118" s="672"/>
      <c r="P118" s="672"/>
      <c r="Q118" s="672"/>
      <c r="R118" s="672"/>
      <c r="S118" s="672"/>
    </row>
    <row r="119" spans="7:19" x14ac:dyDescent="0.2">
      <c r="G119" s="672"/>
      <c r="H119" s="672"/>
      <c r="I119" s="672"/>
      <c r="J119" s="672"/>
      <c r="K119" s="672"/>
      <c r="L119" s="672"/>
      <c r="M119" s="672"/>
      <c r="N119" s="672"/>
      <c r="O119" s="672"/>
      <c r="P119" s="672"/>
      <c r="Q119" s="672"/>
      <c r="R119" s="672"/>
      <c r="S119" s="672"/>
    </row>
    <row r="120" spans="7:19" x14ac:dyDescent="0.2">
      <c r="G120" s="672"/>
      <c r="H120" s="672"/>
      <c r="I120" s="672"/>
      <c r="J120" s="672"/>
      <c r="K120" s="672"/>
      <c r="L120" s="672"/>
      <c r="M120" s="672"/>
      <c r="N120" s="672"/>
      <c r="O120" s="672"/>
      <c r="P120" s="672"/>
      <c r="Q120" s="672"/>
      <c r="R120" s="672"/>
      <c r="S120" s="672"/>
    </row>
    <row r="121" spans="7:19" x14ac:dyDescent="0.2">
      <c r="G121" s="672"/>
      <c r="H121" s="672"/>
      <c r="I121" s="672"/>
      <c r="J121" s="672"/>
      <c r="K121" s="672"/>
      <c r="L121" s="672"/>
      <c r="M121" s="672"/>
      <c r="N121" s="672"/>
      <c r="O121" s="672"/>
      <c r="P121" s="672"/>
      <c r="Q121" s="672"/>
      <c r="R121" s="672"/>
      <c r="S121" s="672"/>
    </row>
    <row r="122" spans="7:19" x14ac:dyDescent="0.2">
      <c r="G122" s="672"/>
      <c r="H122" s="672"/>
      <c r="I122" s="672"/>
      <c r="J122" s="672"/>
      <c r="K122" s="672"/>
      <c r="L122" s="672"/>
      <c r="M122" s="672"/>
      <c r="N122" s="672"/>
      <c r="O122" s="672"/>
      <c r="P122" s="672"/>
      <c r="Q122" s="672"/>
      <c r="R122" s="672"/>
      <c r="S122" s="672"/>
    </row>
    <row r="123" spans="7:19" x14ac:dyDescent="0.2">
      <c r="G123" s="672"/>
      <c r="H123" s="672"/>
      <c r="I123" s="672"/>
      <c r="J123" s="672"/>
      <c r="K123" s="672"/>
      <c r="L123" s="672"/>
      <c r="M123" s="672"/>
      <c r="N123" s="672"/>
      <c r="O123" s="672"/>
      <c r="P123" s="672"/>
      <c r="Q123" s="672"/>
      <c r="R123" s="672"/>
      <c r="S123" s="672"/>
    </row>
    <row r="124" spans="7:19" x14ac:dyDescent="0.2">
      <c r="G124" s="672"/>
      <c r="H124" s="672"/>
      <c r="I124" s="672"/>
      <c r="J124" s="672"/>
      <c r="K124" s="672"/>
      <c r="L124" s="672"/>
      <c r="M124" s="672"/>
      <c r="N124" s="672"/>
      <c r="O124" s="672"/>
      <c r="P124" s="672"/>
      <c r="Q124" s="672"/>
      <c r="R124" s="672"/>
      <c r="S124" s="672"/>
    </row>
    <row r="125" spans="7:19" x14ac:dyDescent="0.2">
      <c r="G125" s="672"/>
      <c r="H125" s="672"/>
      <c r="I125" s="672"/>
      <c r="J125" s="672"/>
      <c r="K125" s="672"/>
      <c r="L125" s="672"/>
      <c r="M125" s="672"/>
      <c r="N125" s="672"/>
      <c r="O125" s="672"/>
      <c r="P125" s="672"/>
      <c r="Q125" s="672"/>
      <c r="R125" s="672"/>
      <c r="S125" s="672"/>
    </row>
    <row r="126" spans="7:19" x14ac:dyDescent="0.2">
      <c r="G126" s="672"/>
      <c r="H126" s="672"/>
      <c r="I126" s="672"/>
      <c r="J126" s="672"/>
      <c r="K126" s="672"/>
      <c r="L126" s="672"/>
      <c r="M126" s="672"/>
      <c r="N126" s="672"/>
      <c r="O126" s="672"/>
      <c r="P126" s="672"/>
      <c r="Q126" s="672"/>
      <c r="R126" s="672"/>
      <c r="S126" s="672"/>
    </row>
    <row r="127" spans="7:19" x14ac:dyDescent="0.2">
      <c r="G127" s="672"/>
      <c r="H127" s="672"/>
      <c r="I127" s="672"/>
      <c r="J127" s="672"/>
      <c r="K127" s="672"/>
      <c r="L127" s="672"/>
      <c r="M127" s="672"/>
      <c r="N127" s="672"/>
      <c r="O127" s="672"/>
      <c r="P127" s="672"/>
      <c r="Q127" s="672"/>
      <c r="R127" s="672"/>
      <c r="S127" s="672"/>
    </row>
    <row r="128" spans="7:19" x14ac:dyDescent="0.2">
      <c r="G128" s="672"/>
      <c r="H128" s="672"/>
      <c r="I128" s="672"/>
      <c r="J128" s="672"/>
      <c r="K128" s="672"/>
      <c r="L128" s="672"/>
      <c r="M128" s="672"/>
      <c r="N128" s="672"/>
      <c r="O128" s="672"/>
      <c r="P128" s="672"/>
      <c r="Q128" s="672"/>
      <c r="R128" s="672"/>
      <c r="S128" s="672"/>
    </row>
    <row r="129" spans="7:19" x14ac:dyDescent="0.2">
      <c r="G129" s="672"/>
      <c r="H129" s="672"/>
      <c r="I129" s="672"/>
      <c r="J129" s="672"/>
      <c r="K129" s="672"/>
      <c r="L129" s="672"/>
      <c r="M129" s="672"/>
      <c r="N129" s="672"/>
      <c r="O129" s="672"/>
      <c r="P129" s="672"/>
      <c r="Q129" s="672"/>
      <c r="R129" s="672"/>
      <c r="S129" s="672"/>
    </row>
    <row r="130" spans="7:19" x14ac:dyDescent="0.2">
      <c r="G130" s="672"/>
      <c r="H130" s="672"/>
      <c r="I130" s="672"/>
      <c r="J130" s="672"/>
      <c r="K130" s="672"/>
      <c r="L130" s="672"/>
      <c r="M130" s="672"/>
      <c r="N130" s="672"/>
      <c r="O130" s="672"/>
      <c r="P130" s="672"/>
      <c r="Q130" s="672"/>
      <c r="R130" s="672"/>
      <c r="S130" s="672"/>
    </row>
    <row r="131" spans="7:19" x14ac:dyDescent="0.2">
      <c r="G131" s="672"/>
      <c r="H131" s="672"/>
      <c r="I131" s="672"/>
      <c r="J131" s="672"/>
      <c r="K131" s="672"/>
      <c r="L131" s="672"/>
      <c r="M131" s="672"/>
      <c r="N131" s="672"/>
      <c r="O131" s="672"/>
      <c r="P131" s="672"/>
      <c r="Q131" s="672"/>
      <c r="R131" s="672"/>
      <c r="S131" s="672"/>
    </row>
    <row r="132" spans="7:19" x14ac:dyDescent="0.2">
      <c r="G132" s="672"/>
      <c r="H132" s="672"/>
      <c r="I132" s="672"/>
      <c r="J132" s="672"/>
      <c r="K132" s="672"/>
      <c r="L132" s="672"/>
      <c r="M132" s="672"/>
      <c r="N132" s="672"/>
      <c r="O132" s="672"/>
      <c r="P132" s="672"/>
      <c r="Q132" s="672"/>
      <c r="R132" s="672"/>
      <c r="S132" s="672"/>
    </row>
    <row r="133" spans="7:19" x14ac:dyDescent="0.2">
      <c r="G133" s="672"/>
      <c r="H133" s="672"/>
      <c r="I133" s="672"/>
      <c r="J133" s="672"/>
      <c r="K133" s="672"/>
      <c r="L133" s="672"/>
      <c r="M133" s="672"/>
      <c r="N133" s="672"/>
      <c r="O133" s="672"/>
      <c r="P133" s="672"/>
      <c r="Q133" s="672"/>
      <c r="R133" s="672"/>
      <c r="S133" s="672"/>
    </row>
    <row r="134" spans="7:19" x14ac:dyDescent="0.2">
      <c r="G134" s="672"/>
      <c r="H134" s="672"/>
      <c r="I134" s="672"/>
      <c r="J134" s="672"/>
      <c r="K134" s="672"/>
      <c r="L134" s="672"/>
      <c r="M134" s="672"/>
      <c r="N134" s="672"/>
      <c r="O134" s="672"/>
      <c r="P134" s="672"/>
      <c r="Q134" s="672"/>
      <c r="R134" s="672"/>
      <c r="S134" s="672"/>
    </row>
    <row r="135" spans="7:19" x14ac:dyDescent="0.2">
      <c r="G135" s="672"/>
      <c r="H135" s="672"/>
      <c r="I135" s="672"/>
      <c r="J135" s="672"/>
      <c r="K135" s="672"/>
      <c r="L135" s="672"/>
      <c r="M135" s="672"/>
      <c r="N135" s="672"/>
      <c r="O135" s="672"/>
      <c r="P135" s="672"/>
      <c r="Q135" s="672"/>
      <c r="R135" s="672"/>
      <c r="S135" s="672"/>
    </row>
    <row r="136" spans="7:19" x14ac:dyDescent="0.2">
      <c r="G136" s="672"/>
      <c r="H136" s="672"/>
      <c r="I136" s="672"/>
      <c r="J136" s="672"/>
      <c r="K136" s="672"/>
      <c r="L136" s="672"/>
      <c r="M136" s="672"/>
      <c r="N136" s="672"/>
      <c r="O136" s="672"/>
      <c r="P136" s="672"/>
      <c r="Q136" s="672"/>
      <c r="R136" s="672"/>
      <c r="S136" s="672"/>
    </row>
    <row r="137" spans="7:19" x14ac:dyDescent="0.2">
      <c r="G137" s="672"/>
      <c r="H137" s="672"/>
      <c r="I137" s="672"/>
      <c r="J137" s="672"/>
      <c r="K137" s="672"/>
      <c r="L137" s="672"/>
      <c r="M137" s="672"/>
      <c r="N137" s="672"/>
      <c r="O137" s="672"/>
      <c r="P137" s="672"/>
      <c r="Q137" s="672"/>
      <c r="R137" s="672"/>
      <c r="S137" s="672"/>
    </row>
    <row r="138" spans="7:19" x14ac:dyDescent="0.2">
      <c r="G138" s="672"/>
      <c r="H138" s="672"/>
      <c r="I138" s="672"/>
      <c r="J138" s="672"/>
      <c r="K138" s="672"/>
      <c r="L138" s="672"/>
      <c r="M138" s="672"/>
      <c r="N138" s="672"/>
      <c r="O138" s="672"/>
      <c r="P138" s="672"/>
      <c r="Q138" s="672"/>
      <c r="R138" s="672"/>
      <c r="S138" s="672"/>
    </row>
    <row r="139" spans="7:19" x14ac:dyDescent="0.2">
      <c r="G139" s="672"/>
      <c r="H139" s="672"/>
      <c r="I139" s="672"/>
      <c r="J139" s="672"/>
      <c r="K139" s="672"/>
      <c r="L139" s="672"/>
      <c r="M139" s="672"/>
      <c r="N139" s="672"/>
      <c r="O139" s="672"/>
      <c r="P139" s="672"/>
      <c r="Q139" s="672"/>
      <c r="R139" s="672"/>
      <c r="S139" s="672"/>
    </row>
    <row r="140" spans="7:19" x14ac:dyDescent="0.2">
      <c r="G140" s="672"/>
      <c r="H140" s="672"/>
      <c r="I140" s="672"/>
      <c r="J140" s="672"/>
      <c r="K140" s="672"/>
      <c r="L140" s="672"/>
      <c r="M140" s="672"/>
      <c r="N140" s="672"/>
      <c r="O140" s="672"/>
      <c r="P140" s="672"/>
      <c r="Q140" s="672"/>
      <c r="R140" s="672"/>
      <c r="S140" s="672"/>
    </row>
    <row r="141" spans="7:19" x14ac:dyDescent="0.2">
      <c r="S141" s="672"/>
    </row>
    <row r="142" spans="7:19" x14ac:dyDescent="0.2">
      <c r="S142" s="672"/>
    </row>
    <row r="143" spans="7:19" x14ac:dyDescent="0.2">
      <c r="S143" s="672"/>
    </row>
    <row r="144" spans="7:19" x14ac:dyDescent="0.2">
      <c r="S144" s="672"/>
    </row>
    <row r="145" spans="19:19" x14ac:dyDescent="0.2">
      <c r="S145" s="672"/>
    </row>
    <row r="146" spans="19:19" x14ac:dyDescent="0.2">
      <c r="S146" s="672"/>
    </row>
    <row r="147" spans="19:19" x14ac:dyDescent="0.2">
      <c r="S147" s="672"/>
    </row>
    <row r="148" spans="19:19" x14ac:dyDescent="0.2">
      <c r="S148" s="672"/>
    </row>
    <row r="149" spans="19:19" x14ac:dyDescent="0.2">
      <c r="S149" s="672"/>
    </row>
    <row r="150" spans="19:19" x14ac:dyDescent="0.2">
      <c r="S150" s="672"/>
    </row>
    <row r="151" spans="19:19" x14ac:dyDescent="0.2">
      <c r="S151" s="672"/>
    </row>
    <row r="152" spans="19:19" x14ac:dyDescent="0.2">
      <c r="S152" s="672"/>
    </row>
    <row r="153" spans="19:19" x14ac:dyDescent="0.2">
      <c r="S153" s="672"/>
    </row>
    <row r="154" spans="19:19" x14ac:dyDescent="0.2">
      <c r="S154" s="672"/>
    </row>
    <row r="155" spans="19:19" x14ac:dyDescent="0.2">
      <c r="S155" s="672"/>
    </row>
    <row r="156" spans="19:19" x14ac:dyDescent="0.2">
      <c r="S156" s="672"/>
    </row>
    <row r="157" spans="19:19" x14ac:dyDescent="0.2">
      <c r="S157" s="672"/>
    </row>
    <row r="158" spans="19:19" x14ac:dyDescent="0.2">
      <c r="S158" s="672"/>
    </row>
    <row r="159" spans="19:19" x14ac:dyDescent="0.2">
      <c r="S159" s="672"/>
    </row>
    <row r="160" spans="19:19" x14ac:dyDescent="0.2">
      <c r="S160" s="672"/>
    </row>
    <row r="161" spans="19:19" x14ac:dyDescent="0.2">
      <c r="S161" s="672"/>
    </row>
    <row r="162" spans="19:19" x14ac:dyDescent="0.2">
      <c r="S162" s="672"/>
    </row>
    <row r="163" spans="19:19" x14ac:dyDescent="0.2">
      <c r="S163" s="672"/>
    </row>
    <row r="164" spans="19:19" x14ac:dyDescent="0.2">
      <c r="S164" s="672"/>
    </row>
    <row r="165" spans="19:19" x14ac:dyDescent="0.2">
      <c r="S165" s="672"/>
    </row>
    <row r="166" spans="19:19" x14ac:dyDescent="0.2">
      <c r="S166" s="672"/>
    </row>
    <row r="167" spans="19:19" x14ac:dyDescent="0.2">
      <c r="S167" s="672"/>
    </row>
    <row r="168" spans="19:19" x14ac:dyDescent="0.2">
      <c r="S168" s="672"/>
    </row>
    <row r="169" spans="19:19" x14ac:dyDescent="0.2">
      <c r="S169" s="672"/>
    </row>
    <row r="170" spans="19:19" x14ac:dyDescent="0.2">
      <c r="S170" s="672"/>
    </row>
    <row r="171" spans="19:19" x14ac:dyDescent="0.2">
      <c r="S171" s="672"/>
    </row>
    <row r="172" spans="19:19" x14ac:dyDescent="0.2">
      <c r="S172" s="672"/>
    </row>
    <row r="173" spans="19:19" x14ac:dyDescent="0.2">
      <c r="S173" s="672"/>
    </row>
    <row r="174" spans="19:19" x14ac:dyDescent="0.2">
      <c r="S174" s="672"/>
    </row>
    <row r="175" spans="19:19" x14ac:dyDescent="0.2">
      <c r="S175" s="672"/>
    </row>
    <row r="176" spans="19:19" x14ac:dyDescent="0.2">
      <c r="S176" s="672"/>
    </row>
    <row r="177" spans="19:19" x14ac:dyDescent="0.2">
      <c r="S177" s="672"/>
    </row>
    <row r="178" spans="19:19" x14ac:dyDescent="0.2">
      <c r="S178" s="672"/>
    </row>
    <row r="179" spans="19:19" x14ac:dyDescent="0.2">
      <c r="S179" s="672"/>
    </row>
    <row r="180" spans="19:19" x14ac:dyDescent="0.2">
      <c r="S180" s="672"/>
    </row>
    <row r="181" spans="19:19" x14ac:dyDescent="0.2">
      <c r="S181" s="672"/>
    </row>
    <row r="182" spans="19:19" x14ac:dyDescent="0.2">
      <c r="S182" s="672"/>
    </row>
    <row r="183" spans="19:19" x14ac:dyDescent="0.2">
      <c r="S183" s="672"/>
    </row>
    <row r="184" spans="19:19" x14ac:dyDescent="0.2">
      <c r="S184" s="672"/>
    </row>
    <row r="185" spans="19:19" x14ac:dyDescent="0.2">
      <c r="S185" s="672"/>
    </row>
    <row r="186" spans="19:19" x14ac:dyDescent="0.2">
      <c r="S186" s="672"/>
    </row>
    <row r="187" spans="19:19" x14ac:dyDescent="0.2">
      <c r="S187" s="672"/>
    </row>
    <row r="188" spans="19:19" x14ac:dyDescent="0.2">
      <c r="S188" s="672"/>
    </row>
    <row r="189" spans="19:19" x14ac:dyDescent="0.2">
      <c r="S189" s="672"/>
    </row>
    <row r="190" spans="19:19" x14ac:dyDescent="0.2">
      <c r="S190" s="672"/>
    </row>
    <row r="191" spans="19:19" x14ac:dyDescent="0.2">
      <c r="S191" s="672"/>
    </row>
    <row r="192" spans="19:19" x14ac:dyDescent="0.2">
      <c r="S192" s="672"/>
    </row>
    <row r="193" spans="19:19" x14ac:dyDescent="0.2">
      <c r="S193" s="672"/>
    </row>
    <row r="194" spans="19:19" x14ac:dyDescent="0.2">
      <c r="S194" s="672"/>
    </row>
    <row r="195" spans="19:19" x14ac:dyDescent="0.2">
      <c r="S195" s="672"/>
    </row>
    <row r="196" spans="19:19" x14ac:dyDescent="0.2">
      <c r="S196" s="672"/>
    </row>
    <row r="197" spans="19:19" x14ac:dyDescent="0.2">
      <c r="S197" s="672"/>
    </row>
    <row r="198" spans="19:19" x14ac:dyDescent="0.2">
      <c r="S198" s="672"/>
    </row>
    <row r="199" spans="19:19" x14ac:dyDescent="0.2">
      <c r="S199" s="672"/>
    </row>
    <row r="200" spans="19:19" x14ac:dyDescent="0.2">
      <c r="S200" s="672"/>
    </row>
    <row r="201" spans="19:19" x14ac:dyDescent="0.2">
      <c r="S201" s="672"/>
    </row>
    <row r="202" spans="19:19" x14ac:dyDescent="0.2">
      <c r="S202" s="672"/>
    </row>
    <row r="203" spans="19:19" x14ac:dyDescent="0.2">
      <c r="S203" s="672"/>
    </row>
    <row r="204" spans="19:19" x14ac:dyDescent="0.2">
      <c r="S204" s="672"/>
    </row>
    <row r="205" spans="19:19" x14ac:dyDescent="0.2">
      <c r="S205" s="672"/>
    </row>
    <row r="206" spans="19:19" x14ac:dyDescent="0.2">
      <c r="S206" s="672"/>
    </row>
    <row r="207" spans="19:19" x14ac:dyDescent="0.2">
      <c r="S207" s="672"/>
    </row>
    <row r="208" spans="19:19" x14ac:dyDescent="0.2">
      <c r="S208" s="672"/>
    </row>
    <row r="209" spans="19:19" x14ac:dyDescent="0.2">
      <c r="S209" s="672"/>
    </row>
    <row r="210" spans="19:19" x14ac:dyDescent="0.2">
      <c r="S210" s="672"/>
    </row>
    <row r="211" spans="19:19" x14ac:dyDescent="0.2">
      <c r="S211" s="672"/>
    </row>
    <row r="212" spans="19:19" x14ac:dyDescent="0.2">
      <c r="S212" s="672"/>
    </row>
    <row r="213" spans="19:19" x14ac:dyDescent="0.2">
      <c r="S213" s="672"/>
    </row>
    <row r="214" spans="19:19" x14ac:dyDescent="0.2">
      <c r="S214" s="672"/>
    </row>
    <row r="215" spans="19:19" x14ac:dyDescent="0.2">
      <c r="S215" s="672"/>
    </row>
    <row r="216" spans="19:19" x14ac:dyDescent="0.2">
      <c r="S216" s="672"/>
    </row>
    <row r="217" spans="19:19" x14ac:dyDescent="0.2">
      <c r="S217" s="672"/>
    </row>
  </sheetData>
  <mergeCells count="2">
    <mergeCell ref="F2:S2"/>
    <mergeCell ref="T2:AG2"/>
  </mergeCells>
  <pageMargins left="0.7" right="0.7" top="0.75" bottom="0.75" header="0.3" footer="0.3"/>
  <pageSetup scale="7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Summary</vt:lpstr>
      <vt:lpstr>Table 1</vt:lpstr>
      <vt:lpstr>Table 2 Pg1</vt:lpstr>
      <vt:lpstr>Table 2 Pg2</vt:lpstr>
      <vt:lpstr>Table3 Summary</vt:lpstr>
      <vt:lpstr>Table 3.1</vt:lpstr>
      <vt:lpstr>Table 3.2</vt:lpstr>
      <vt:lpstr>Table 3.3</vt:lpstr>
      <vt:lpstr>Table 3.4</vt:lpstr>
      <vt:lpstr>Table 4</vt:lpstr>
      <vt:lpstr>Table 5</vt:lpstr>
      <vt:lpstr>Summary!Print_Area</vt:lpstr>
      <vt:lpstr>'Table 2 Pg1'!Print_Area</vt:lpstr>
      <vt:lpstr>'Table 3.1'!Print_Area</vt:lpstr>
      <vt:lpstr>'Table 3.3'!Print_Area</vt:lpstr>
      <vt:lpstr>'Table 3.4'!Print_Area</vt:lpstr>
      <vt:lpstr>'Table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2020-10-29T18:08:42Z</cp:lastPrinted>
  <dcterms:created xsi:type="dcterms:W3CDTF">2020-10-29T13:33:02Z</dcterms:created>
  <dcterms:modified xsi:type="dcterms:W3CDTF">2020-10-29T18:09:32Z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Phindile.Dhlame@Treasury.gov.za</vt:lpwstr>
  </property>
  <property fmtid="{D5CDD505-2E9C-101B-9397-08002B2CF9AE}" pid="5" name="MSIP_Label_93c4247e-447d-4732-af29-2e529a4288f1_SetDate">
    <vt:lpwstr>2020-10-29T14:27:47.4979521Z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ActionId">
    <vt:lpwstr>d7102944-a549-4664-a66f-c961cf719196</vt:lpwstr>
  </property>
  <property fmtid="{D5CDD505-2E9C-101B-9397-08002B2CF9AE}" pid="9" name="MSIP_Label_93c4247e-447d-4732-af29-2e529a4288f1_Extended_MSFT_Method">
    <vt:lpwstr>Automatic</vt:lpwstr>
  </property>
  <property fmtid="{D5CDD505-2E9C-101B-9397-08002B2CF9AE}" pid="10" name="Sensitivity">
    <vt:lpwstr>Personal</vt:lpwstr>
  </property>
</Properties>
</file>